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FT Technical\1 My Tech Papers\2024 ASME PVP\Examples\"/>
    </mc:Choice>
  </mc:AlternateContent>
  <xr:revisionPtr revIDLastSave="0" documentId="13_ncr:1_{675C2846-930E-4F9B-B483-D83C05A633FC}" xr6:coauthVersionLast="47" xr6:coauthVersionMax="47" xr10:uidLastSave="{00000000-0000-0000-0000-000000000000}"/>
  <bookViews>
    <workbookView xWindow="-120" yWindow="-120" windowWidth="29040" windowHeight="15990" activeTab="1" xr2:uid="{00000000-000D-0000-FFFF-FFFF00000000}"/>
  </bookViews>
  <sheets>
    <sheet name="Example 6.1" sheetId="1" r:id="rId1"/>
    <sheet name="Graph Data" sheetId="4" r:id="rId2"/>
  </sheets>
  <externalReferences>
    <externalReference r:id="rId3"/>
  </externalReferences>
  <definedNames>
    <definedName name="A">'Example 6.1'!$C$24</definedName>
    <definedName name="c_1">'Example 6.1'!$C$80</definedName>
    <definedName name="c_2">'Example 6.1'!$C$126</definedName>
    <definedName name="cp">'Example 6.1'!$C$12</definedName>
    <definedName name="D">'Example 6.1'!$C$20</definedName>
    <definedName name="f">'Example 6.1'!$C$26</definedName>
    <definedName name="Gam">'Example 6.1'!$C$6</definedName>
    <definedName name="gc">'Example 6.1'!$C$7</definedName>
    <definedName name="h_1">'Example 6.1'!$C$88</definedName>
    <definedName name="h_2">'Example 6.1'!$C$124</definedName>
    <definedName name="ho_1">'Example 6.1'!$C$90</definedName>
    <definedName name="ho_2">'Example 6.1'!$C$101</definedName>
    <definedName name="L">'Example 6.1'!$C$16</definedName>
    <definedName name="M_1">'Example 6.1'!$C$48</definedName>
    <definedName name="M_2">'Example 6.1'!$C$46</definedName>
    <definedName name="mdot">'Example 6.1'!$C$66</definedName>
    <definedName name="P_1">'Example 6.1'!$C$71</definedName>
    <definedName name="P_2">'Example 6.1'!$C$108</definedName>
    <definedName name="Po_1">'Example 6.1'!$C$38</definedName>
    <definedName name="Po_2">'Example 6.1'!$C$113</definedName>
    <definedName name="Rg">'Example 6.1'!$C$4</definedName>
    <definedName name="rho_1">'Example 6.1'!$C$76</definedName>
    <definedName name="rho_2">'Example 6.1'!$C$119</definedName>
    <definedName name="T_1">'Example 6.1'!$C$73</definedName>
    <definedName name="T_2">'Example 6.1'!$C$110</definedName>
    <definedName name="To_1">'Example 6.1'!$C$42</definedName>
    <definedName name="To_2">'Example 6.1'!$C$115</definedName>
    <definedName name="V_1">'Example 6.1'!$C$78</definedName>
    <definedName name="V_2">'Example 6.1'!$C$121</definedName>
    <definedName name="Z">'Example 6.1'!$C$43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76" i="4" l="1"/>
  <c r="E76" i="4"/>
  <c r="Y3" i="4"/>
  <c r="H3" i="4"/>
  <c r="I3" i="4" s="1"/>
  <c r="D3" i="4"/>
  <c r="Z3" i="4" s="1"/>
  <c r="C3" i="4"/>
  <c r="AB3" i="4" l="1"/>
  <c r="D4" i="4"/>
  <c r="E3" i="4"/>
  <c r="D5" i="4" l="1"/>
  <c r="Z4" i="4"/>
  <c r="E4" i="4"/>
  <c r="Z5" i="4" l="1"/>
  <c r="D6" i="4"/>
  <c r="E5" i="4"/>
  <c r="E6" i="4" l="1"/>
  <c r="D7" i="4"/>
  <c r="Z6" i="4"/>
  <c r="E7" i="4" l="1"/>
  <c r="Z7" i="4"/>
  <c r="D8" i="4"/>
  <c r="Z8" i="4" l="1"/>
  <c r="D9" i="4"/>
  <c r="E8" i="4"/>
  <c r="E9" i="4" l="1"/>
  <c r="D10" i="4"/>
  <c r="Z9" i="4"/>
  <c r="E10" i="4" l="1"/>
  <c r="Z10" i="4"/>
  <c r="D11" i="4"/>
  <c r="D12" i="4" l="1"/>
  <c r="E11" i="4"/>
  <c r="Z11" i="4"/>
  <c r="E12" i="4" l="1"/>
  <c r="Z12" i="4"/>
  <c r="D13" i="4"/>
  <c r="D14" i="4" l="1"/>
  <c r="E13" i="4"/>
  <c r="Z13" i="4"/>
  <c r="Z14" i="4" l="1"/>
  <c r="E14" i="4"/>
  <c r="D15" i="4"/>
  <c r="D16" i="4" l="1"/>
  <c r="Z15" i="4"/>
  <c r="E15" i="4"/>
  <c r="E16" i="4" l="1"/>
  <c r="Z16" i="4"/>
  <c r="D17" i="4"/>
  <c r="Z17" i="4" l="1"/>
  <c r="D18" i="4"/>
  <c r="E17" i="4"/>
  <c r="E18" i="4" l="1"/>
  <c r="D19" i="4"/>
  <c r="Z18" i="4"/>
  <c r="Z19" i="4" l="1"/>
  <c r="E19" i="4"/>
  <c r="D20" i="4"/>
  <c r="D21" i="4" l="1"/>
  <c r="E20" i="4"/>
  <c r="Z20" i="4"/>
  <c r="E21" i="4" l="1"/>
  <c r="Z21" i="4"/>
  <c r="D22" i="4"/>
  <c r="D23" i="4" l="1"/>
  <c r="E22" i="4"/>
  <c r="Z22" i="4"/>
  <c r="E23" i="4" l="1"/>
  <c r="Z23" i="4"/>
  <c r="D24" i="4"/>
  <c r="Z24" i="4" l="1"/>
  <c r="D25" i="4"/>
  <c r="E24" i="4"/>
  <c r="D26" i="4" l="1"/>
  <c r="E25" i="4"/>
  <c r="Z25" i="4"/>
  <c r="Z26" i="4" l="1"/>
  <c r="D27" i="4"/>
  <c r="E26" i="4"/>
  <c r="D28" i="4" l="1"/>
  <c r="E27" i="4"/>
  <c r="Z27" i="4"/>
  <c r="E28" i="4" l="1"/>
  <c r="Z28" i="4"/>
  <c r="D29" i="4"/>
  <c r="Z29" i="4" l="1"/>
  <c r="D30" i="4"/>
  <c r="E29" i="4"/>
  <c r="E30" i="4" l="1"/>
  <c r="Z30" i="4"/>
  <c r="D31" i="4"/>
  <c r="Z31" i="4" l="1"/>
  <c r="D32" i="4"/>
  <c r="E31" i="4"/>
  <c r="D33" i="4" l="1"/>
  <c r="E32" i="4"/>
  <c r="Z32" i="4"/>
  <c r="E33" i="4" l="1"/>
  <c r="Z33" i="4"/>
  <c r="D34" i="4"/>
  <c r="D35" i="4" l="1"/>
  <c r="E34" i="4"/>
  <c r="Z34" i="4"/>
  <c r="E35" i="4" l="1"/>
  <c r="Z35" i="4"/>
  <c r="D36" i="4"/>
  <c r="Z36" i="4" l="1"/>
  <c r="D37" i="4"/>
  <c r="E36" i="4"/>
  <c r="D38" i="4" l="1"/>
  <c r="E37" i="4"/>
  <c r="Z37" i="4"/>
  <c r="Z38" i="4" l="1"/>
  <c r="D39" i="4"/>
  <c r="E38" i="4"/>
  <c r="D40" i="4" l="1"/>
  <c r="E39" i="4"/>
  <c r="Z39" i="4"/>
  <c r="E40" i="4" l="1"/>
  <c r="Z40" i="4"/>
  <c r="D41" i="4"/>
  <c r="Z41" i="4" l="1"/>
  <c r="E41" i="4"/>
  <c r="D42" i="4"/>
  <c r="E42" i="4" l="1"/>
  <c r="Z42" i="4"/>
  <c r="D43" i="4"/>
  <c r="D44" i="4" l="1"/>
  <c r="E43" i="4"/>
  <c r="Z43" i="4"/>
  <c r="D45" i="4" l="1"/>
  <c r="E44" i="4"/>
  <c r="Z44" i="4"/>
  <c r="D46" i="4" l="1"/>
  <c r="Z45" i="4"/>
  <c r="E45" i="4"/>
  <c r="D47" i="4" l="1"/>
  <c r="E46" i="4"/>
  <c r="Z46" i="4"/>
  <c r="E47" i="4" l="1"/>
  <c r="Z47" i="4"/>
  <c r="D48" i="4"/>
  <c r="Z48" i="4" l="1"/>
  <c r="D49" i="4"/>
  <c r="E48" i="4"/>
  <c r="Z49" i="4" l="1"/>
  <c r="E49" i="4"/>
  <c r="D50" i="4"/>
  <c r="Z50" i="4" l="1"/>
  <c r="D51" i="4"/>
  <c r="E50" i="4"/>
  <c r="D52" i="4" l="1"/>
  <c r="E51" i="4"/>
  <c r="Z51" i="4"/>
  <c r="E52" i="4" l="1"/>
  <c r="Z52" i="4"/>
  <c r="D53" i="4"/>
  <c r="D54" i="4" l="1"/>
  <c r="E53" i="4"/>
  <c r="Z53" i="4"/>
  <c r="E54" i="4" l="1"/>
  <c r="Z54" i="4"/>
  <c r="D55" i="4"/>
  <c r="Z55" i="4" l="1"/>
  <c r="D56" i="4"/>
  <c r="E55" i="4"/>
  <c r="D57" i="4" l="1"/>
  <c r="E56" i="4"/>
  <c r="Z56" i="4"/>
  <c r="Z57" i="4" l="1"/>
  <c r="D58" i="4"/>
  <c r="E57" i="4"/>
  <c r="D59" i="4" l="1"/>
  <c r="E58" i="4"/>
  <c r="Z58" i="4"/>
  <c r="E59" i="4" l="1"/>
  <c r="Z59" i="4"/>
  <c r="D60" i="4"/>
  <c r="Z60" i="4" l="1"/>
  <c r="D61" i="4"/>
  <c r="E60" i="4"/>
  <c r="E61" i="4" l="1"/>
  <c r="Z61" i="4"/>
  <c r="D62" i="4"/>
  <c r="Z62" i="4" l="1"/>
  <c r="D63" i="4"/>
  <c r="E62" i="4"/>
  <c r="D64" i="4" l="1"/>
  <c r="E63" i="4"/>
  <c r="Z63" i="4"/>
  <c r="E64" i="4" l="1"/>
  <c r="Z64" i="4"/>
  <c r="D65" i="4"/>
  <c r="D66" i="4" l="1"/>
  <c r="E65" i="4"/>
  <c r="Z65" i="4"/>
  <c r="E66" i="4" l="1"/>
  <c r="Z66" i="4"/>
  <c r="D67" i="4"/>
  <c r="Z67" i="4" l="1"/>
  <c r="D68" i="4"/>
  <c r="E67" i="4"/>
  <c r="D69" i="4" l="1"/>
  <c r="E68" i="4"/>
  <c r="Z68" i="4"/>
  <c r="Z69" i="4" l="1"/>
  <c r="D70" i="4"/>
  <c r="E69" i="4"/>
  <c r="D71" i="4" l="1"/>
  <c r="E70" i="4"/>
  <c r="Z70" i="4"/>
  <c r="E71" i="4" l="1"/>
  <c r="Z71" i="4"/>
  <c r="D72" i="4"/>
  <c r="Z72" i="4" l="1"/>
  <c r="D73" i="4"/>
  <c r="E72" i="4"/>
  <c r="E73" i="4" l="1"/>
  <c r="Z73" i="4"/>
  <c r="D74" i="4"/>
  <c r="Z74" i="4" l="1"/>
  <c r="D75" i="4"/>
  <c r="E74" i="4"/>
  <c r="E75" i="4" l="1"/>
  <c r="Z75" i="4"/>
  <c r="C39" i="1" l="1"/>
  <c r="C50" i="1" l="1"/>
  <c r="C64" i="1"/>
  <c r="B127" i="1" l="1"/>
  <c r="B125" i="1"/>
  <c r="B122" i="1"/>
  <c r="B120" i="1"/>
  <c r="B117" i="1"/>
  <c r="B114" i="1"/>
  <c r="B112" i="1"/>
  <c r="B109" i="1"/>
  <c r="B102" i="1"/>
  <c r="B91" i="1"/>
  <c r="B89" i="1"/>
  <c r="B81" i="1"/>
  <c r="B79" i="1"/>
  <c r="B77" i="1"/>
  <c r="B75" i="1"/>
  <c r="B72" i="1"/>
  <c r="C41" i="1" l="1"/>
  <c r="C19" i="1"/>
  <c r="C23" i="1" s="1"/>
  <c r="C22" i="1"/>
  <c r="C24" i="1" s="1"/>
  <c r="C20" i="1"/>
  <c r="C17" i="1"/>
  <c r="C13" i="1"/>
  <c r="C5" i="1"/>
  <c r="C42" i="1"/>
  <c r="C71" i="1"/>
  <c r="C72" i="1" l="1"/>
  <c r="F3" i="4"/>
  <c r="C66" i="1"/>
  <c r="N3" i="4"/>
  <c r="P3" i="4" s="1"/>
  <c r="B76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C73" i="1"/>
  <c r="C21" i="1"/>
  <c r="C25" i="1" s="1"/>
  <c r="C47" i="1"/>
  <c r="C51" i="1" s="1"/>
  <c r="C108" i="1"/>
  <c r="C109" i="1" s="1"/>
  <c r="Y33" i="4" l="1"/>
  <c r="C33" i="4"/>
  <c r="C21" i="4"/>
  <c r="Y21" i="4"/>
  <c r="Y9" i="4"/>
  <c r="C9" i="4"/>
  <c r="C34" i="4"/>
  <c r="Y34" i="4"/>
  <c r="Y32" i="4"/>
  <c r="C32" i="4"/>
  <c r="Y20" i="4"/>
  <c r="C20" i="4"/>
  <c r="C8" i="4"/>
  <c r="Y8" i="4"/>
  <c r="Y69" i="4"/>
  <c r="C69" i="4"/>
  <c r="Y55" i="4"/>
  <c r="C55" i="4"/>
  <c r="Y43" i="4"/>
  <c r="C43" i="4"/>
  <c r="C31" i="4"/>
  <c r="Y31" i="4"/>
  <c r="Y19" i="4"/>
  <c r="C19" i="4"/>
  <c r="Y7" i="4"/>
  <c r="C7" i="4"/>
  <c r="C58" i="4"/>
  <c r="Y58" i="4"/>
  <c r="Y56" i="4"/>
  <c r="C56" i="4"/>
  <c r="Y42" i="4"/>
  <c r="C42" i="4"/>
  <c r="Y30" i="4"/>
  <c r="C30" i="4"/>
  <c r="C18" i="4"/>
  <c r="Y18" i="4"/>
  <c r="C6" i="4"/>
  <c r="Y6" i="4"/>
  <c r="C10" i="4"/>
  <c r="Y10" i="4"/>
  <c r="Y53" i="4"/>
  <c r="C53" i="4"/>
  <c r="C41" i="4"/>
  <c r="Y41" i="4"/>
  <c r="C29" i="4"/>
  <c r="Y29" i="4"/>
  <c r="C17" i="4"/>
  <c r="Y17" i="4"/>
  <c r="C5" i="4"/>
  <c r="Y5" i="4"/>
  <c r="C45" i="4"/>
  <c r="Y45" i="4"/>
  <c r="C67" i="4"/>
  <c r="Y67" i="4"/>
  <c r="C52" i="4"/>
  <c r="Y52" i="4"/>
  <c r="Y40" i="4"/>
  <c r="C40" i="4"/>
  <c r="C28" i="4"/>
  <c r="Y28" i="4"/>
  <c r="Y16" i="4"/>
  <c r="C16" i="4"/>
  <c r="C4" i="4"/>
  <c r="Y4" i="4"/>
  <c r="C46" i="4"/>
  <c r="Y46" i="4"/>
  <c r="C66" i="4"/>
  <c r="Y66" i="4"/>
  <c r="C74" i="1"/>
  <c r="C75" i="1" s="1"/>
  <c r="J3" i="4"/>
  <c r="C51" i="4"/>
  <c r="Y51" i="4"/>
  <c r="C39" i="4"/>
  <c r="Y39" i="4"/>
  <c r="C27" i="4"/>
  <c r="Y27" i="4"/>
  <c r="C15" i="4"/>
  <c r="Y15" i="4"/>
  <c r="C76" i="4"/>
  <c r="Y76" i="4"/>
  <c r="C22" i="4"/>
  <c r="Y22" i="4"/>
  <c r="C54" i="4"/>
  <c r="Y54" i="4"/>
  <c r="C63" i="4"/>
  <c r="Y63" i="4"/>
  <c r="C62" i="4"/>
  <c r="Y62" i="4"/>
  <c r="Y50" i="4"/>
  <c r="C50" i="4"/>
  <c r="C38" i="4"/>
  <c r="Y38" i="4"/>
  <c r="C26" i="4"/>
  <c r="Y26" i="4"/>
  <c r="C14" i="4"/>
  <c r="Y14" i="4"/>
  <c r="N4" i="4"/>
  <c r="P4" i="4" s="1"/>
  <c r="O3" i="4"/>
  <c r="Q3" i="4" s="1"/>
  <c r="C44" i="4"/>
  <c r="Y44" i="4"/>
  <c r="C75" i="4"/>
  <c r="Y75" i="4"/>
  <c r="Y73" i="4"/>
  <c r="C73" i="4"/>
  <c r="C61" i="4"/>
  <c r="Y61" i="4"/>
  <c r="C49" i="4"/>
  <c r="Y49" i="4"/>
  <c r="C37" i="4"/>
  <c r="Y37" i="4"/>
  <c r="C25" i="4"/>
  <c r="Y25" i="4"/>
  <c r="Y13" i="4"/>
  <c r="C13" i="4"/>
  <c r="H4" i="4"/>
  <c r="C57" i="4"/>
  <c r="Y57" i="4"/>
  <c r="C64" i="4"/>
  <c r="Y64" i="4"/>
  <c r="C72" i="4"/>
  <c r="Y72" i="4"/>
  <c r="Y60" i="4"/>
  <c r="C60" i="4"/>
  <c r="C48" i="4"/>
  <c r="Y48" i="4"/>
  <c r="C36" i="4"/>
  <c r="Y36" i="4"/>
  <c r="C24" i="4"/>
  <c r="Y24" i="4"/>
  <c r="Y12" i="4"/>
  <c r="C12" i="4"/>
  <c r="AA3" i="4"/>
  <c r="G3" i="4"/>
  <c r="Y70" i="4"/>
  <c r="C70" i="4"/>
  <c r="C68" i="4"/>
  <c r="Y68" i="4"/>
  <c r="Y65" i="4"/>
  <c r="C65" i="4"/>
  <c r="Y74" i="4"/>
  <c r="C74" i="4"/>
  <c r="C71" i="4"/>
  <c r="Y71" i="4"/>
  <c r="C59" i="4"/>
  <c r="Y59" i="4"/>
  <c r="Y47" i="4"/>
  <c r="C47" i="4"/>
  <c r="Y35" i="4"/>
  <c r="C35" i="4"/>
  <c r="C23" i="4"/>
  <c r="Y23" i="4"/>
  <c r="C11" i="4"/>
  <c r="Y11" i="4"/>
  <c r="C76" i="1"/>
  <c r="C88" i="1"/>
  <c r="C89" i="1" s="1"/>
  <c r="C110" i="1"/>
  <c r="C115" i="1" s="1"/>
  <c r="C116" i="1" s="1"/>
  <c r="C117" i="1" s="1"/>
  <c r="C113" i="1"/>
  <c r="C114" i="1" s="1"/>
  <c r="L3" i="4" l="1"/>
  <c r="K3" i="4"/>
  <c r="M3" i="4" s="1"/>
  <c r="AC3" i="4"/>
  <c r="C77" i="1"/>
  <c r="R3" i="4"/>
  <c r="O4" i="4"/>
  <c r="Q4" i="4" s="1"/>
  <c r="I4" i="4"/>
  <c r="F4" i="4"/>
  <c r="AB4" i="4"/>
  <c r="N5" i="4"/>
  <c r="P5" i="4" s="1"/>
  <c r="J4" i="4"/>
  <c r="C119" i="1"/>
  <c r="C120" i="1" s="1"/>
  <c r="C111" i="1"/>
  <c r="C112" i="1" s="1"/>
  <c r="N6" i="4" l="1"/>
  <c r="P6" i="4" s="1"/>
  <c r="J5" i="4"/>
  <c r="H5" i="4"/>
  <c r="O5" i="4"/>
  <c r="Q5" i="4" s="1"/>
  <c r="G4" i="4"/>
  <c r="AA4" i="4"/>
  <c r="R4" i="4"/>
  <c r="T4" i="4" s="1"/>
  <c r="AD3" i="4"/>
  <c r="S3" i="4"/>
  <c r="T3" i="4"/>
  <c r="L4" i="4"/>
  <c r="AC4" i="4"/>
  <c r="K4" i="4"/>
  <c r="M4" i="4" s="1"/>
  <c r="C121" i="1"/>
  <c r="C126" i="1" s="1"/>
  <c r="C127" i="1" s="1"/>
  <c r="C78" i="1"/>
  <c r="C80" i="1" s="1"/>
  <c r="C81" i="1" s="1"/>
  <c r="C67" i="1"/>
  <c r="U4" i="4" l="1"/>
  <c r="V4" i="4"/>
  <c r="O6" i="4"/>
  <c r="Q6" i="4" s="1"/>
  <c r="N7" i="4"/>
  <c r="P7" i="4" s="1"/>
  <c r="J6" i="4"/>
  <c r="H6" i="4"/>
  <c r="S4" i="4"/>
  <c r="AD4" i="4"/>
  <c r="I5" i="4"/>
  <c r="AB5" i="4"/>
  <c r="F5" i="4"/>
  <c r="L5" i="4"/>
  <c r="AC5" i="4"/>
  <c r="K5" i="4"/>
  <c r="M5" i="4" s="1"/>
  <c r="U3" i="4"/>
  <c r="V3" i="4"/>
  <c r="C122" i="1"/>
  <c r="C90" i="1"/>
  <c r="C91" i="1" s="1"/>
  <c r="C79" i="1"/>
  <c r="I6" i="4" l="1"/>
  <c r="F6" i="4"/>
  <c r="AB6" i="4"/>
  <c r="W4" i="4"/>
  <c r="AE4" i="4"/>
  <c r="L6" i="4"/>
  <c r="K6" i="4"/>
  <c r="M6" i="4" s="1"/>
  <c r="AC6" i="4"/>
  <c r="W3" i="4"/>
  <c r="AE3" i="4"/>
  <c r="N8" i="4"/>
  <c r="P8" i="4" s="1"/>
  <c r="J7" i="4"/>
  <c r="H7" i="4"/>
  <c r="O7" i="4"/>
  <c r="Q7" i="4" s="1"/>
  <c r="AA5" i="4"/>
  <c r="G5" i="4"/>
  <c r="R5" i="4"/>
  <c r="T5" i="4" s="1"/>
  <c r="C101" i="1"/>
  <c r="C124" i="1" s="1"/>
  <c r="C125" i="1" s="1"/>
  <c r="N9" i="4" l="1"/>
  <c r="P9" i="4" s="1"/>
  <c r="J8" i="4"/>
  <c r="H8" i="4"/>
  <c r="U5" i="4"/>
  <c r="V5" i="4"/>
  <c r="F7" i="4"/>
  <c r="AB7" i="4"/>
  <c r="I7" i="4"/>
  <c r="S5" i="4"/>
  <c r="AD5" i="4"/>
  <c r="O8" i="4"/>
  <c r="Q8" i="4" s="1"/>
  <c r="R6" i="4"/>
  <c r="T6" i="4" s="1"/>
  <c r="AA6" i="4"/>
  <c r="G6" i="4"/>
  <c r="L7" i="4"/>
  <c r="AC7" i="4"/>
  <c r="K7" i="4"/>
  <c r="M7" i="4" s="1"/>
  <c r="C102" i="1"/>
  <c r="G7" i="4" l="1"/>
  <c r="R7" i="4"/>
  <c r="T7" i="4"/>
  <c r="AA7" i="4"/>
  <c r="V6" i="4"/>
  <c r="U6" i="4"/>
  <c r="L8" i="4"/>
  <c r="AC8" i="4"/>
  <c r="K8" i="4"/>
  <c r="M8" i="4" s="1"/>
  <c r="O9" i="4"/>
  <c r="Q9" i="4" s="1"/>
  <c r="AE5" i="4"/>
  <c r="W5" i="4"/>
  <c r="AB8" i="4"/>
  <c r="I8" i="4"/>
  <c r="F8" i="4"/>
  <c r="S6" i="4"/>
  <c r="AD6" i="4"/>
  <c r="N10" i="4"/>
  <c r="P10" i="4" s="1"/>
  <c r="J9" i="4"/>
  <c r="H9" i="4"/>
  <c r="N11" i="4" l="1"/>
  <c r="P11" i="4" s="1"/>
  <c r="J10" i="4"/>
  <c r="H10" i="4"/>
  <c r="O10" i="4"/>
  <c r="Q10" i="4" s="1"/>
  <c r="G8" i="4"/>
  <c r="R8" i="4"/>
  <c r="T8" i="4" s="1"/>
  <c r="AA8" i="4"/>
  <c r="F9" i="4"/>
  <c r="I9" i="4"/>
  <c r="AB9" i="4"/>
  <c r="L9" i="4"/>
  <c r="AC9" i="4"/>
  <c r="K9" i="4"/>
  <c r="M9" i="4" s="1"/>
  <c r="W6" i="4"/>
  <c r="AE6" i="4"/>
  <c r="U7" i="4"/>
  <c r="V7" i="4"/>
  <c r="S7" i="4"/>
  <c r="AD7" i="4"/>
  <c r="U8" i="4" l="1"/>
  <c r="V8" i="4"/>
  <c r="AE7" i="4"/>
  <c r="W7" i="4"/>
  <c r="F10" i="4"/>
  <c r="AB10" i="4"/>
  <c r="I10" i="4"/>
  <c r="N12" i="4"/>
  <c r="P12" i="4" s="1"/>
  <c r="J11" i="4"/>
  <c r="H11" i="4"/>
  <c r="G9" i="4"/>
  <c r="R9" i="4"/>
  <c r="T9" i="4" s="1"/>
  <c r="AA9" i="4"/>
  <c r="AD8" i="4"/>
  <c r="S8" i="4"/>
  <c r="O11" i="4"/>
  <c r="Q11" i="4" s="1"/>
  <c r="L10" i="4"/>
  <c r="AC10" i="4"/>
  <c r="K10" i="4"/>
  <c r="M10" i="4" s="1"/>
  <c r="I11" i="4" l="1"/>
  <c r="F11" i="4"/>
  <c r="AB11" i="4"/>
  <c r="N13" i="4"/>
  <c r="P13" i="4" s="1"/>
  <c r="J12" i="4"/>
  <c r="H12" i="4"/>
  <c r="O12" i="4"/>
  <c r="Q12" i="4" s="1"/>
  <c r="AE8" i="4"/>
  <c r="W8" i="4"/>
  <c r="L11" i="4"/>
  <c r="AC11" i="4"/>
  <c r="K11" i="4"/>
  <c r="M11" i="4" s="1"/>
  <c r="AA10" i="4"/>
  <c r="G10" i="4"/>
  <c r="R10" i="4"/>
  <c r="U9" i="4"/>
  <c r="V9" i="4"/>
  <c r="S9" i="4"/>
  <c r="AD9" i="4"/>
  <c r="W9" i="4" l="1"/>
  <c r="AE9" i="4"/>
  <c r="O13" i="4"/>
  <c r="Q13" i="4" s="1"/>
  <c r="L12" i="4"/>
  <c r="K12" i="4"/>
  <c r="M12" i="4" s="1"/>
  <c r="AC12" i="4"/>
  <c r="N14" i="4"/>
  <c r="P14" i="4" s="1"/>
  <c r="J13" i="4"/>
  <c r="H13" i="4"/>
  <c r="AB12" i="4"/>
  <c r="F12" i="4"/>
  <c r="I12" i="4"/>
  <c r="T10" i="4"/>
  <c r="AD10" i="4"/>
  <c r="S10" i="4"/>
  <c r="G11" i="4"/>
  <c r="R11" i="4"/>
  <c r="AA11" i="4"/>
  <c r="T11" i="4"/>
  <c r="L13" i="4" l="1"/>
  <c r="K13" i="4"/>
  <c r="M13" i="4" s="1"/>
  <c r="AC13" i="4"/>
  <c r="N15" i="4"/>
  <c r="P15" i="4" s="1"/>
  <c r="J14" i="4"/>
  <c r="H14" i="4"/>
  <c r="AB13" i="4"/>
  <c r="I13" i="4"/>
  <c r="F13" i="4"/>
  <c r="AD11" i="4"/>
  <c r="S11" i="4"/>
  <c r="V10" i="4"/>
  <c r="U10" i="4"/>
  <c r="V11" i="4"/>
  <c r="U11" i="4"/>
  <c r="O14" i="4"/>
  <c r="Q14" i="4" s="1"/>
  <c r="AA12" i="4"/>
  <c r="G12" i="4"/>
  <c r="R12" i="4"/>
  <c r="T12" i="4" l="1"/>
  <c r="S12" i="4"/>
  <c r="AD12" i="4"/>
  <c r="L14" i="4"/>
  <c r="K14" i="4"/>
  <c r="M14" i="4" s="1"/>
  <c r="AC14" i="4"/>
  <c r="N16" i="4"/>
  <c r="P16" i="4" s="1"/>
  <c r="J15" i="4"/>
  <c r="H15" i="4"/>
  <c r="G13" i="4"/>
  <c r="AA13" i="4"/>
  <c r="R13" i="4"/>
  <c r="T13" i="4" s="1"/>
  <c r="F14" i="4"/>
  <c r="AB14" i="4"/>
  <c r="I14" i="4"/>
  <c r="O15" i="4"/>
  <c r="Q15" i="4" s="1"/>
  <c r="W11" i="4"/>
  <c r="AE11" i="4"/>
  <c r="W10" i="4"/>
  <c r="AE10" i="4"/>
  <c r="N17" i="4" l="1"/>
  <c r="P17" i="4" s="1"/>
  <c r="J16" i="4"/>
  <c r="H16" i="4"/>
  <c r="L15" i="4"/>
  <c r="K15" i="4"/>
  <c r="M15" i="4" s="1"/>
  <c r="AC15" i="4"/>
  <c r="V13" i="4"/>
  <c r="U13" i="4"/>
  <c r="I15" i="4"/>
  <c r="F15" i="4"/>
  <c r="AB15" i="4"/>
  <c r="O16" i="4"/>
  <c r="Q16" i="4" s="1"/>
  <c r="AA14" i="4"/>
  <c r="G14" i="4"/>
  <c r="R14" i="4"/>
  <c r="S13" i="4"/>
  <c r="AD13" i="4"/>
  <c r="U12" i="4"/>
  <c r="V12" i="4"/>
  <c r="AA15" i="4" l="1"/>
  <c r="G15" i="4"/>
  <c r="R15" i="4"/>
  <c r="T15" i="4"/>
  <c r="W12" i="4"/>
  <c r="AE12" i="4"/>
  <c r="AE13" i="4"/>
  <c r="W13" i="4"/>
  <c r="F16" i="4"/>
  <c r="AB16" i="4"/>
  <c r="I16" i="4"/>
  <c r="T14" i="4"/>
  <c r="AD14" i="4"/>
  <c r="S14" i="4"/>
  <c r="L16" i="4"/>
  <c r="K16" i="4"/>
  <c r="M16" i="4" s="1"/>
  <c r="AC16" i="4"/>
  <c r="O17" i="4"/>
  <c r="Q17" i="4" s="1"/>
  <c r="N18" i="4"/>
  <c r="P18" i="4" s="1"/>
  <c r="J17" i="4"/>
  <c r="H17" i="4"/>
  <c r="G16" i="4" l="1"/>
  <c r="R16" i="4"/>
  <c r="AA16" i="4"/>
  <c r="AB17" i="4"/>
  <c r="I17" i="4"/>
  <c r="F17" i="4"/>
  <c r="V14" i="4"/>
  <c r="U14" i="4"/>
  <c r="L17" i="4"/>
  <c r="K17" i="4"/>
  <c r="M17" i="4" s="1"/>
  <c r="AC17" i="4"/>
  <c r="N19" i="4"/>
  <c r="P19" i="4" s="1"/>
  <c r="J18" i="4"/>
  <c r="H18" i="4"/>
  <c r="O18" i="4"/>
  <c r="Q18" i="4" s="1"/>
  <c r="U15" i="4"/>
  <c r="V15" i="4"/>
  <c r="AD15" i="4"/>
  <c r="S15" i="4"/>
  <c r="AE15" i="4" l="1"/>
  <c r="W15" i="4"/>
  <c r="W14" i="4"/>
  <c r="AE14" i="4"/>
  <c r="O19" i="4"/>
  <c r="Q19" i="4" s="1"/>
  <c r="L18" i="4"/>
  <c r="AC18" i="4"/>
  <c r="K18" i="4"/>
  <c r="M18" i="4" s="1"/>
  <c r="G17" i="4"/>
  <c r="AA17" i="4"/>
  <c r="R17" i="4"/>
  <c r="F18" i="4"/>
  <c r="AB18" i="4"/>
  <c r="I18" i="4"/>
  <c r="AD16" i="4"/>
  <c r="S16" i="4"/>
  <c r="N20" i="4"/>
  <c r="P20" i="4" s="1"/>
  <c r="J19" i="4"/>
  <c r="H19" i="4"/>
  <c r="T16" i="4"/>
  <c r="AD17" i="4" l="1"/>
  <c r="S17" i="4"/>
  <c r="U16" i="4"/>
  <c r="V16" i="4"/>
  <c r="L19" i="4"/>
  <c r="K19" i="4"/>
  <c r="M19" i="4" s="1"/>
  <c r="AC19" i="4"/>
  <c r="O20" i="4"/>
  <c r="Q20" i="4" s="1"/>
  <c r="F19" i="4"/>
  <c r="AB19" i="4"/>
  <c r="I19" i="4"/>
  <c r="N21" i="4"/>
  <c r="P21" i="4" s="1"/>
  <c r="J20" i="4"/>
  <c r="H20" i="4"/>
  <c r="G18" i="4"/>
  <c r="R18" i="4"/>
  <c r="AA18" i="4"/>
  <c r="T18" i="4"/>
  <c r="T17" i="4"/>
  <c r="AA19" i="4" l="1"/>
  <c r="R19" i="4"/>
  <c r="G19" i="4"/>
  <c r="U18" i="4"/>
  <c r="V18" i="4"/>
  <c r="AE16" i="4"/>
  <c r="W16" i="4"/>
  <c r="U17" i="4"/>
  <c r="V17" i="4"/>
  <c r="O21" i="4"/>
  <c r="Q21" i="4" s="1"/>
  <c r="S18" i="4"/>
  <c r="AD18" i="4"/>
  <c r="AB20" i="4"/>
  <c r="I20" i="4"/>
  <c r="F20" i="4"/>
  <c r="L20" i="4"/>
  <c r="K20" i="4"/>
  <c r="M20" i="4" s="1"/>
  <c r="AC20" i="4"/>
  <c r="N22" i="4"/>
  <c r="P22" i="4" s="1"/>
  <c r="J21" i="4"/>
  <c r="H21" i="4"/>
  <c r="AB21" i="4" l="1"/>
  <c r="I21" i="4"/>
  <c r="F21" i="4"/>
  <c r="O22" i="4"/>
  <c r="Q22" i="4" s="1"/>
  <c r="W17" i="4"/>
  <c r="AE17" i="4"/>
  <c r="AE18" i="4"/>
  <c r="W18" i="4"/>
  <c r="T19" i="4"/>
  <c r="AD19" i="4"/>
  <c r="S19" i="4"/>
  <c r="L21" i="4"/>
  <c r="AC21" i="4"/>
  <c r="K21" i="4"/>
  <c r="M21" i="4" s="1"/>
  <c r="N23" i="4"/>
  <c r="P23" i="4" s="1"/>
  <c r="J22" i="4"/>
  <c r="H22" i="4"/>
  <c r="G20" i="4"/>
  <c r="R20" i="4"/>
  <c r="AA20" i="4"/>
  <c r="V19" i="4" l="1"/>
  <c r="U19" i="4"/>
  <c r="I22" i="4"/>
  <c r="F22" i="4"/>
  <c r="AB22" i="4"/>
  <c r="O23" i="4"/>
  <c r="Q23" i="4" s="1"/>
  <c r="N24" i="4"/>
  <c r="P24" i="4" s="1"/>
  <c r="J23" i="4"/>
  <c r="H23" i="4"/>
  <c r="T20" i="4"/>
  <c r="S20" i="4"/>
  <c r="AD20" i="4"/>
  <c r="L22" i="4"/>
  <c r="K22" i="4"/>
  <c r="M22" i="4" s="1"/>
  <c r="AC22" i="4"/>
  <c r="R21" i="4"/>
  <c r="T21" i="4" s="1"/>
  <c r="G21" i="4"/>
  <c r="AA21" i="4"/>
  <c r="F23" i="4" l="1"/>
  <c r="AB23" i="4"/>
  <c r="I23" i="4"/>
  <c r="J24" i="4"/>
  <c r="N25" i="4"/>
  <c r="P25" i="4" s="1"/>
  <c r="H24" i="4"/>
  <c r="L23" i="4"/>
  <c r="AC23" i="4"/>
  <c r="K23" i="4"/>
  <c r="M23" i="4" s="1"/>
  <c r="R22" i="4"/>
  <c r="G22" i="4"/>
  <c r="AA22" i="4"/>
  <c r="V20" i="4"/>
  <c r="U20" i="4"/>
  <c r="U21" i="4"/>
  <c r="V21" i="4"/>
  <c r="O24" i="4"/>
  <c r="Q24" i="4" s="1"/>
  <c r="S21" i="4"/>
  <c r="AD21" i="4"/>
  <c r="W19" i="4"/>
  <c r="AE19" i="4"/>
  <c r="T22" i="4" l="1"/>
  <c r="AD22" i="4"/>
  <c r="S22" i="4"/>
  <c r="I24" i="4"/>
  <c r="F24" i="4"/>
  <c r="AB24" i="4"/>
  <c r="N26" i="4"/>
  <c r="P26" i="4" s="1"/>
  <c r="J25" i="4"/>
  <c r="H25" i="4"/>
  <c r="W21" i="4"/>
  <c r="AE21" i="4"/>
  <c r="AE20" i="4"/>
  <c r="W20" i="4"/>
  <c r="O25" i="4"/>
  <c r="Q25" i="4" s="1"/>
  <c r="L24" i="4"/>
  <c r="AC24" i="4"/>
  <c r="K24" i="4"/>
  <c r="M24" i="4" s="1"/>
  <c r="R23" i="4"/>
  <c r="AA23" i="4"/>
  <c r="G23" i="4"/>
  <c r="T23" i="4"/>
  <c r="N27" i="4" l="1"/>
  <c r="P27" i="4" s="1"/>
  <c r="J26" i="4"/>
  <c r="H26" i="4"/>
  <c r="U23" i="4"/>
  <c r="V23" i="4"/>
  <c r="L25" i="4"/>
  <c r="K25" i="4"/>
  <c r="M25" i="4" s="1"/>
  <c r="AC25" i="4"/>
  <c r="G24" i="4"/>
  <c r="AA24" i="4"/>
  <c r="R24" i="4"/>
  <c r="AB25" i="4"/>
  <c r="I25" i="4"/>
  <c r="F25" i="4"/>
  <c r="AD23" i="4"/>
  <c r="S23" i="4"/>
  <c r="O26" i="4"/>
  <c r="Q26" i="4" s="1"/>
  <c r="V22" i="4"/>
  <c r="U22" i="4"/>
  <c r="S24" i="4" l="1"/>
  <c r="AD24" i="4"/>
  <c r="G25" i="4"/>
  <c r="R25" i="4"/>
  <c r="AA25" i="4"/>
  <c r="T25" i="4"/>
  <c r="L26" i="4"/>
  <c r="AC26" i="4"/>
  <c r="K26" i="4"/>
  <c r="M26" i="4" s="1"/>
  <c r="W22" i="4"/>
  <c r="AE22" i="4"/>
  <c r="O27" i="4"/>
  <c r="Q27" i="4" s="1"/>
  <c r="AE23" i="4"/>
  <c r="W23" i="4"/>
  <c r="F26" i="4"/>
  <c r="AB26" i="4"/>
  <c r="I26" i="4"/>
  <c r="T24" i="4"/>
  <c r="N28" i="4"/>
  <c r="P28" i="4" s="1"/>
  <c r="J27" i="4"/>
  <c r="H27" i="4"/>
  <c r="L27" i="4" l="1"/>
  <c r="K27" i="4"/>
  <c r="M27" i="4" s="1"/>
  <c r="AC27" i="4"/>
  <c r="O28" i="4"/>
  <c r="Q28" i="4" s="1"/>
  <c r="N29" i="4"/>
  <c r="P29" i="4" s="1"/>
  <c r="J28" i="4"/>
  <c r="H28" i="4"/>
  <c r="V25" i="4"/>
  <c r="U25" i="4"/>
  <c r="S25" i="4"/>
  <c r="AD25" i="4"/>
  <c r="AB27" i="4"/>
  <c r="I27" i="4"/>
  <c r="F27" i="4"/>
  <c r="U24" i="4"/>
  <c r="V24" i="4"/>
  <c r="R26" i="4"/>
  <c r="AA26" i="4"/>
  <c r="G26" i="4"/>
  <c r="L28" i="4" l="1"/>
  <c r="AC28" i="4"/>
  <c r="K28" i="4"/>
  <c r="M28" i="4" s="1"/>
  <c r="J29" i="4"/>
  <c r="N30" i="4"/>
  <c r="P30" i="4" s="1"/>
  <c r="H29" i="4"/>
  <c r="AE25" i="4"/>
  <c r="W25" i="4"/>
  <c r="T26" i="4"/>
  <c r="AD26" i="4"/>
  <c r="S26" i="4"/>
  <c r="AE24" i="4"/>
  <c r="W24" i="4"/>
  <c r="O29" i="4"/>
  <c r="Q29" i="4" s="1"/>
  <c r="F28" i="4"/>
  <c r="AB28" i="4"/>
  <c r="I28" i="4"/>
  <c r="G27" i="4"/>
  <c r="R27" i="4"/>
  <c r="AA27" i="4"/>
  <c r="T27" i="4"/>
  <c r="U26" i="4" l="1"/>
  <c r="V26" i="4"/>
  <c r="AD27" i="4"/>
  <c r="S27" i="4"/>
  <c r="AA28" i="4"/>
  <c r="R28" i="4"/>
  <c r="G28" i="4"/>
  <c r="N31" i="4"/>
  <c r="P31" i="4" s="1"/>
  <c r="J30" i="4"/>
  <c r="H30" i="4"/>
  <c r="O30" i="4"/>
  <c r="Q30" i="4" s="1"/>
  <c r="U27" i="4"/>
  <c r="V27" i="4"/>
  <c r="I29" i="4"/>
  <c r="AB29" i="4"/>
  <c r="F29" i="4"/>
  <c r="L29" i="4"/>
  <c r="AC29" i="4"/>
  <c r="K29" i="4"/>
  <c r="M29" i="4" s="1"/>
  <c r="I30" i="4" l="1"/>
  <c r="F30" i="4"/>
  <c r="AB30" i="4"/>
  <c r="G29" i="4"/>
  <c r="R29" i="4"/>
  <c r="AA29" i="4"/>
  <c r="T29" i="4"/>
  <c r="L30" i="4"/>
  <c r="AC30" i="4"/>
  <c r="K30" i="4"/>
  <c r="M30" i="4" s="1"/>
  <c r="N32" i="4"/>
  <c r="P32" i="4" s="1"/>
  <c r="J31" i="4"/>
  <c r="H31" i="4"/>
  <c r="T28" i="4"/>
  <c r="AD28" i="4"/>
  <c r="S28" i="4"/>
  <c r="W27" i="4"/>
  <c r="AE27" i="4"/>
  <c r="W26" i="4"/>
  <c r="AE26" i="4"/>
  <c r="O31" i="4"/>
  <c r="Q31" i="4" s="1"/>
  <c r="U29" i="4" l="1"/>
  <c r="V29" i="4"/>
  <c r="G30" i="4"/>
  <c r="R30" i="4"/>
  <c r="AA30" i="4"/>
  <c r="N33" i="4"/>
  <c r="P33" i="4" s="1"/>
  <c r="J32" i="4"/>
  <c r="H32" i="4"/>
  <c r="O32" i="4"/>
  <c r="Q32" i="4" s="1"/>
  <c r="S29" i="4"/>
  <c r="AD29" i="4"/>
  <c r="U28" i="4"/>
  <c r="V28" i="4"/>
  <c r="AB31" i="4"/>
  <c r="I31" i="4"/>
  <c r="F31" i="4"/>
  <c r="L31" i="4"/>
  <c r="AC31" i="4"/>
  <c r="K31" i="4"/>
  <c r="M31" i="4" s="1"/>
  <c r="O33" i="4" l="1"/>
  <c r="Q33" i="4" s="1"/>
  <c r="F32" i="4"/>
  <c r="AB32" i="4"/>
  <c r="I32" i="4"/>
  <c r="J33" i="4"/>
  <c r="N34" i="4"/>
  <c r="P34" i="4" s="1"/>
  <c r="H33" i="4"/>
  <c r="L32" i="4"/>
  <c r="AC32" i="4"/>
  <c r="K32" i="4"/>
  <c r="M32" i="4" s="1"/>
  <c r="AA31" i="4"/>
  <c r="R31" i="4"/>
  <c r="T31" i="4" s="1"/>
  <c r="G31" i="4"/>
  <c r="T30" i="4"/>
  <c r="AD30" i="4"/>
  <c r="S30" i="4"/>
  <c r="AE28" i="4"/>
  <c r="W28" i="4"/>
  <c r="AE29" i="4"/>
  <c r="W29" i="4"/>
  <c r="L33" i="4" l="1"/>
  <c r="K33" i="4"/>
  <c r="M33" i="4" s="1"/>
  <c r="AC33" i="4"/>
  <c r="AB33" i="4"/>
  <c r="F33" i="4"/>
  <c r="I33" i="4"/>
  <c r="U31" i="4"/>
  <c r="V31" i="4"/>
  <c r="N35" i="4"/>
  <c r="P35" i="4" s="1"/>
  <c r="J34" i="4"/>
  <c r="H34" i="4"/>
  <c r="U30" i="4"/>
  <c r="V30" i="4"/>
  <c r="G32" i="4"/>
  <c r="AA32" i="4"/>
  <c r="R32" i="4"/>
  <c r="T32" i="4"/>
  <c r="S31" i="4"/>
  <c r="AD31" i="4"/>
  <c r="O34" i="4"/>
  <c r="Q34" i="4" s="1"/>
  <c r="N36" i="4" l="1"/>
  <c r="P36" i="4" s="1"/>
  <c r="J35" i="4"/>
  <c r="H35" i="4"/>
  <c r="L34" i="4"/>
  <c r="K34" i="4"/>
  <c r="M34" i="4" s="1"/>
  <c r="AC34" i="4"/>
  <c r="AA33" i="4"/>
  <c r="R33" i="4"/>
  <c r="T33" i="4" s="1"/>
  <c r="G33" i="4"/>
  <c r="AE30" i="4"/>
  <c r="W30" i="4"/>
  <c r="I34" i="4"/>
  <c r="F34" i="4"/>
  <c r="AB34" i="4"/>
  <c r="O35" i="4"/>
  <c r="Q35" i="4" s="1"/>
  <c r="AE31" i="4"/>
  <c r="W31" i="4"/>
  <c r="V32" i="4"/>
  <c r="U32" i="4"/>
  <c r="S32" i="4"/>
  <c r="AD32" i="4"/>
  <c r="W32" i="4" l="1"/>
  <c r="AE32" i="4"/>
  <c r="AD33" i="4"/>
  <c r="S33" i="4"/>
  <c r="R34" i="4"/>
  <c r="AA34" i="4"/>
  <c r="G34" i="4"/>
  <c r="U33" i="4"/>
  <c r="V33" i="4"/>
  <c r="O36" i="4"/>
  <c r="Q36" i="4" s="1"/>
  <c r="F35" i="4"/>
  <c r="AB35" i="4"/>
  <c r="I35" i="4"/>
  <c r="L35" i="4"/>
  <c r="AC35" i="4"/>
  <c r="K35" i="4"/>
  <c r="M35" i="4" s="1"/>
  <c r="N37" i="4"/>
  <c r="P37" i="4" s="1"/>
  <c r="J36" i="4"/>
  <c r="H36" i="4"/>
  <c r="I36" i="4" l="1"/>
  <c r="F36" i="4"/>
  <c r="AB36" i="4"/>
  <c r="W33" i="4"/>
  <c r="AE33" i="4"/>
  <c r="AA35" i="4"/>
  <c r="G35" i="4"/>
  <c r="R35" i="4"/>
  <c r="T35" i="4" s="1"/>
  <c r="O37" i="4"/>
  <c r="Q37" i="4" s="1"/>
  <c r="L36" i="4"/>
  <c r="K36" i="4"/>
  <c r="M36" i="4" s="1"/>
  <c r="AC36" i="4"/>
  <c r="N38" i="4"/>
  <c r="P38" i="4" s="1"/>
  <c r="J37" i="4"/>
  <c r="H37" i="4"/>
  <c r="T34" i="4"/>
  <c r="AD34" i="4"/>
  <c r="S34" i="4"/>
  <c r="V35" i="4" l="1"/>
  <c r="U35" i="4"/>
  <c r="O38" i="4"/>
  <c r="Q38" i="4" s="1"/>
  <c r="U34" i="4"/>
  <c r="V34" i="4"/>
  <c r="L37" i="4"/>
  <c r="AC37" i="4"/>
  <c r="K37" i="4"/>
  <c r="M37" i="4" s="1"/>
  <c r="AD35" i="4"/>
  <c r="S35" i="4"/>
  <c r="F37" i="4"/>
  <c r="AB37" i="4"/>
  <c r="I37" i="4"/>
  <c r="N39" i="4"/>
  <c r="P39" i="4" s="1"/>
  <c r="J38" i="4"/>
  <c r="H38" i="4"/>
  <c r="AA36" i="4"/>
  <c r="G36" i="4"/>
  <c r="R36" i="4"/>
  <c r="T36" i="4" l="1"/>
  <c r="S36" i="4"/>
  <c r="AD36" i="4"/>
  <c r="L38" i="4"/>
  <c r="AC38" i="4"/>
  <c r="K38" i="4"/>
  <c r="M38" i="4" s="1"/>
  <c r="O39" i="4"/>
  <c r="Q39" i="4" s="1"/>
  <c r="AA37" i="4"/>
  <c r="R37" i="4"/>
  <c r="G37" i="4"/>
  <c r="AB38" i="4"/>
  <c r="I38" i="4"/>
  <c r="F38" i="4"/>
  <c r="W34" i="4"/>
  <c r="AE34" i="4"/>
  <c r="N40" i="4"/>
  <c r="P40" i="4" s="1"/>
  <c r="J39" i="4"/>
  <c r="H39" i="4"/>
  <c r="W35" i="4"/>
  <c r="AE35" i="4"/>
  <c r="L39" i="4" l="1"/>
  <c r="AC39" i="4"/>
  <c r="K39" i="4"/>
  <c r="M39" i="4" s="1"/>
  <c r="AB39" i="4"/>
  <c r="I39" i="4"/>
  <c r="F39" i="4"/>
  <c r="N41" i="4"/>
  <c r="P41" i="4" s="1"/>
  <c r="J40" i="4"/>
  <c r="H40" i="4"/>
  <c r="T37" i="4"/>
  <c r="S37" i="4"/>
  <c r="AD37" i="4"/>
  <c r="O40" i="4"/>
  <c r="Q40" i="4" s="1"/>
  <c r="AA38" i="4"/>
  <c r="R38" i="4"/>
  <c r="G38" i="4"/>
  <c r="T38" i="4"/>
  <c r="V36" i="4"/>
  <c r="U36" i="4"/>
  <c r="V37" i="4" l="1"/>
  <c r="U37" i="4"/>
  <c r="N42" i="4"/>
  <c r="P42" i="4" s="1"/>
  <c r="J41" i="4"/>
  <c r="H41" i="4"/>
  <c r="F40" i="4"/>
  <c r="AB40" i="4"/>
  <c r="I40" i="4"/>
  <c r="W36" i="4"/>
  <c r="AE36" i="4"/>
  <c r="R39" i="4"/>
  <c r="G39" i="4"/>
  <c r="AA39" i="4"/>
  <c r="O41" i="4"/>
  <c r="Q41" i="4" s="1"/>
  <c r="L40" i="4"/>
  <c r="K40" i="4"/>
  <c r="M40" i="4" s="1"/>
  <c r="AC40" i="4"/>
  <c r="U38" i="4"/>
  <c r="V38" i="4"/>
  <c r="S38" i="4"/>
  <c r="AD38" i="4"/>
  <c r="R40" i="4" l="1"/>
  <c r="G40" i="4"/>
  <c r="AA40" i="4"/>
  <c r="L41" i="4"/>
  <c r="AC41" i="4"/>
  <c r="K41" i="4"/>
  <c r="M41" i="4" s="1"/>
  <c r="O42" i="4"/>
  <c r="Q42" i="4" s="1"/>
  <c r="N43" i="4"/>
  <c r="P43" i="4" s="1"/>
  <c r="J42" i="4"/>
  <c r="H42" i="4"/>
  <c r="S39" i="4"/>
  <c r="AD39" i="4"/>
  <c r="AE38" i="4"/>
  <c r="W38" i="4"/>
  <c r="F41" i="4"/>
  <c r="AB41" i="4"/>
  <c r="I41" i="4"/>
  <c r="T39" i="4"/>
  <c r="AE37" i="4"/>
  <c r="W37" i="4"/>
  <c r="L42" i="4" l="1"/>
  <c r="K42" i="4"/>
  <c r="M42" i="4" s="1"/>
  <c r="AC42" i="4"/>
  <c r="O43" i="4"/>
  <c r="Q43" i="4" s="1"/>
  <c r="U39" i="4"/>
  <c r="V39" i="4"/>
  <c r="AB42" i="4"/>
  <c r="F42" i="4"/>
  <c r="I42" i="4"/>
  <c r="N44" i="4"/>
  <c r="P44" i="4" s="1"/>
  <c r="J43" i="4"/>
  <c r="H43" i="4"/>
  <c r="G41" i="4"/>
  <c r="R41" i="4"/>
  <c r="AA41" i="4"/>
  <c r="T41" i="4"/>
  <c r="T40" i="4"/>
  <c r="S40" i="4"/>
  <c r="AD40" i="4"/>
  <c r="N45" i="4" l="1"/>
  <c r="P45" i="4" s="1"/>
  <c r="J44" i="4"/>
  <c r="H44" i="4"/>
  <c r="W39" i="4"/>
  <c r="AE39" i="4"/>
  <c r="F43" i="4"/>
  <c r="I43" i="4"/>
  <c r="AB43" i="4"/>
  <c r="G42" i="4"/>
  <c r="AA42" i="4"/>
  <c r="R42" i="4"/>
  <c r="U40" i="4"/>
  <c r="V40" i="4"/>
  <c r="V41" i="4"/>
  <c r="U41" i="4"/>
  <c r="AD41" i="4"/>
  <c r="S41" i="4"/>
  <c r="O44" i="4"/>
  <c r="Q44" i="4" s="1"/>
  <c r="L43" i="4"/>
  <c r="K43" i="4"/>
  <c r="M43" i="4" s="1"/>
  <c r="AC43" i="4"/>
  <c r="S42" i="4" l="1"/>
  <c r="AD42" i="4"/>
  <c r="AA43" i="4"/>
  <c r="G43" i="4"/>
  <c r="R43" i="4"/>
  <c r="AE41" i="4"/>
  <c r="W41" i="4"/>
  <c r="O45" i="4"/>
  <c r="Q45" i="4" s="1"/>
  <c r="I44" i="4"/>
  <c r="AB44" i="4"/>
  <c r="F44" i="4"/>
  <c r="AE40" i="4"/>
  <c r="W40" i="4"/>
  <c r="L44" i="4"/>
  <c r="AC44" i="4"/>
  <c r="K44" i="4"/>
  <c r="M44" i="4" s="1"/>
  <c r="T42" i="4"/>
  <c r="N46" i="4"/>
  <c r="P46" i="4" s="1"/>
  <c r="J45" i="4"/>
  <c r="H45" i="4"/>
  <c r="AB45" i="4" l="1"/>
  <c r="I45" i="4"/>
  <c r="F45" i="4"/>
  <c r="L45" i="4"/>
  <c r="K45" i="4"/>
  <c r="M45" i="4" s="1"/>
  <c r="AC45" i="4"/>
  <c r="U42" i="4"/>
  <c r="V42" i="4"/>
  <c r="AD43" i="4"/>
  <c r="S43" i="4"/>
  <c r="O46" i="4"/>
  <c r="Q46" i="4" s="1"/>
  <c r="N47" i="4"/>
  <c r="P47" i="4" s="1"/>
  <c r="J46" i="4"/>
  <c r="H46" i="4"/>
  <c r="T43" i="4"/>
  <c r="AA44" i="4"/>
  <c r="G44" i="4"/>
  <c r="R44" i="4"/>
  <c r="T44" i="4" l="1"/>
  <c r="S44" i="4"/>
  <c r="AD44" i="4"/>
  <c r="U43" i="4"/>
  <c r="V43" i="4"/>
  <c r="L46" i="4"/>
  <c r="AC46" i="4"/>
  <c r="K46" i="4"/>
  <c r="M46" i="4" s="1"/>
  <c r="O47" i="4"/>
  <c r="Q47" i="4" s="1"/>
  <c r="W42" i="4"/>
  <c r="AE42" i="4"/>
  <c r="I46" i="4"/>
  <c r="F46" i="4"/>
  <c r="AB46" i="4"/>
  <c r="AA45" i="4"/>
  <c r="G45" i="4"/>
  <c r="R45" i="4"/>
  <c r="N48" i="4"/>
  <c r="P48" i="4" s="1"/>
  <c r="J47" i="4"/>
  <c r="H47" i="4"/>
  <c r="F47" i="4" l="1"/>
  <c r="AB47" i="4"/>
  <c r="I47" i="4"/>
  <c r="L47" i="4"/>
  <c r="AC47" i="4"/>
  <c r="K47" i="4"/>
  <c r="M47" i="4" s="1"/>
  <c r="AE43" i="4"/>
  <c r="W43" i="4"/>
  <c r="O48" i="4"/>
  <c r="Q48" i="4" s="1"/>
  <c r="N49" i="4"/>
  <c r="P49" i="4" s="1"/>
  <c r="J48" i="4"/>
  <c r="H48" i="4"/>
  <c r="T45" i="4"/>
  <c r="S45" i="4"/>
  <c r="AD45" i="4"/>
  <c r="G46" i="4"/>
  <c r="R46" i="4"/>
  <c r="AA46" i="4"/>
  <c r="U44" i="4"/>
  <c r="V44" i="4"/>
  <c r="N50" i="4" l="1"/>
  <c r="P50" i="4" s="1"/>
  <c r="J49" i="4"/>
  <c r="H49" i="4"/>
  <c r="T46" i="4"/>
  <c r="S46" i="4"/>
  <c r="AD46" i="4"/>
  <c r="W44" i="4"/>
  <c r="AE44" i="4"/>
  <c r="O49" i="4"/>
  <c r="Q49" i="4" s="1"/>
  <c r="I48" i="4"/>
  <c r="AB48" i="4"/>
  <c r="F48" i="4"/>
  <c r="U45" i="4"/>
  <c r="V45" i="4"/>
  <c r="L48" i="4"/>
  <c r="AC48" i="4"/>
  <c r="K48" i="4"/>
  <c r="M48" i="4" s="1"/>
  <c r="R47" i="4"/>
  <c r="T47" i="4" s="1"/>
  <c r="AA47" i="4"/>
  <c r="G47" i="4"/>
  <c r="V47" i="4" l="1"/>
  <c r="U47" i="4"/>
  <c r="O50" i="4"/>
  <c r="Q50" i="4" s="1"/>
  <c r="U46" i="4"/>
  <c r="V46" i="4"/>
  <c r="AE45" i="4"/>
  <c r="W45" i="4"/>
  <c r="L49" i="4"/>
  <c r="AC49" i="4"/>
  <c r="K49" i="4"/>
  <c r="M49" i="4" s="1"/>
  <c r="AD47" i="4"/>
  <c r="S47" i="4"/>
  <c r="F49" i="4"/>
  <c r="AB49" i="4"/>
  <c r="I49" i="4"/>
  <c r="G48" i="4"/>
  <c r="R48" i="4"/>
  <c r="AA48" i="4"/>
  <c r="N51" i="4"/>
  <c r="P51" i="4" s="1"/>
  <c r="J50" i="4"/>
  <c r="H50" i="4"/>
  <c r="T48" i="4" l="1"/>
  <c r="S48" i="4"/>
  <c r="AD48" i="4"/>
  <c r="O51" i="4"/>
  <c r="Q51" i="4" s="1"/>
  <c r="AB50" i="4"/>
  <c r="I50" i="4"/>
  <c r="F50" i="4"/>
  <c r="L50" i="4"/>
  <c r="K50" i="4"/>
  <c r="M50" i="4" s="1"/>
  <c r="AC50" i="4"/>
  <c r="N52" i="4"/>
  <c r="P52" i="4" s="1"/>
  <c r="J51" i="4"/>
  <c r="H51" i="4"/>
  <c r="AE46" i="4"/>
  <c r="W46" i="4"/>
  <c r="R49" i="4"/>
  <c r="G49" i="4"/>
  <c r="AA49" i="4"/>
  <c r="T49" i="4"/>
  <c r="AE47" i="4"/>
  <c r="W47" i="4"/>
  <c r="U49" i="4" l="1"/>
  <c r="V49" i="4"/>
  <c r="I51" i="4"/>
  <c r="F51" i="4"/>
  <c r="AB51" i="4"/>
  <c r="AA50" i="4"/>
  <c r="G50" i="4"/>
  <c r="R50" i="4"/>
  <c r="S49" i="4"/>
  <c r="AD49" i="4"/>
  <c r="O52" i="4"/>
  <c r="Q52" i="4" s="1"/>
  <c r="L51" i="4"/>
  <c r="K51" i="4"/>
  <c r="M51" i="4" s="1"/>
  <c r="AC51" i="4"/>
  <c r="N53" i="4"/>
  <c r="P53" i="4" s="1"/>
  <c r="J52" i="4"/>
  <c r="H52" i="4"/>
  <c r="U48" i="4"/>
  <c r="V48" i="4"/>
  <c r="AB52" i="4" l="1"/>
  <c r="I52" i="4"/>
  <c r="F52" i="4"/>
  <c r="AD50" i="4"/>
  <c r="S50" i="4"/>
  <c r="G51" i="4"/>
  <c r="R51" i="4"/>
  <c r="AA51" i="4"/>
  <c r="O53" i="4"/>
  <c r="Q53" i="4" s="1"/>
  <c r="W48" i="4"/>
  <c r="AE48" i="4"/>
  <c r="T50" i="4"/>
  <c r="L52" i="4"/>
  <c r="AC52" i="4"/>
  <c r="K52" i="4"/>
  <c r="M52" i="4" s="1"/>
  <c r="N54" i="4"/>
  <c r="P54" i="4" s="1"/>
  <c r="J53" i="4"/>
  <c r="H53" i="4"/>
  <c r="AE49" i="4"/>
  <c r="W49" i="4"/>
  <c r="O54" i="4" l="1"/>
  <c r="Q54" i="4" s="1"/>
  <c r="T51" i="4"/>
  <c r="AD51" i="4"/>
  <c r="S51" i="4"/>
  <c r="AB53" i="4"/>
  <c r="I53" i="4"/>
  <c r="F53" i="4"/>
  <c r="L53" i="4"/>
  <c r="K53" i="4"/>
  <c r="M53" i="4" s="1"/>
  <c r="AC53" i="4"/>
  <c r="N55" i="4"/>
  <c r="P55" i="4" s="1"/>
  <c r="J54" i="4"/>
  <c r="H54" i="4"/>
  <c r="R52" i="4"/>
  <c r="G52" i="4"/>
  <c r="AA52" i="4"/>
  <c r="T52" i="4"/>
  <c r="U50" i="4"/>
  <c r="V50" i="4"/>
  <c r="G53" i="4" l="1"/>
  <c r="AA53" i="4"/>
  <c r="R53" i="4"/>
  <c r="F54" i="4"/>
  <c r="AB54" i="4"/>
  <c r="I54" i="4"/>
  <c r="N56" i="4"/>
  <c r="P56" i="4" s="1"/>
  <c r="J55" i="4"/>
  <c r="H55" i="4"/>
  <c r="W50" i="4"/>
  <c r="AE50" i="4"/>
  <c r="U52" i="4"/>
  <c r="V52" i="4"/>
  <c r="AD52" i="4"/>
  <c r="S52" i="4"/>
  <c r="U51" i="4"/>
  <c r="V51" i="4"/>
  <c r="L54" i="4"/>
  <c r="K54" i="4"/>
  <c r="M54" i="4" s="1"/>
  <c r="AC54" i="4"/>
  <c r="O55" i="4"/>
  <c r="Q55" i="4" s="1"/>
  <c r="O56" i="4" l="1"/>
  <c r="Q56" i="4" s="1"/>
  <c r="F55" i="4"/>
  <c r="AB55" i="4"/>
  <c r="I55" i="4"/>
  <c r="W51" i="4"/>
  <c r="AE51" i="4"/>
  <c r="L55" i="4"/>
  <c r="AC55" i="4"/>
  <c r="K55" i="4"/>
  <c r="M55" i="4" s="1"/>
  <c r="J56" i="4"/>
  <c r="N57" i="4"/>
  <c r="P57" i="4" s="1"/>
  <c r="H56" i="4"/>
  <c r="G54" i="4"/>
  <c r="AA54" i="4"/>
  <c r="R54" i="4"/>
  <c r="T53" i="4"/>
  <c r="AD53" i="4"/>
  <c r="S53" i="4"/>
  <c r="W52" i="4"/>
  <c r="AE52" i="4"/>
  <c r="L56" i="4" l="1"/>
  <c r="AC56" i="4"/>
  <c r="K56" i="4"/>
  <c r="M56" i="4" s="1"/>
  <c r="AD54" i="4"/>
  <c r="S54" i="4"/>
  <c r="G55" i="4"/>
  <c r="R55" i="4"/>
  <c r="T55" i="4" s="1"/>
  <c r="AA55" i="4"/>
  <c r="N58" i="4"/>
  <c r="P58" i="4" s="1"/>
  <c r="J57" i="4"/>
  <c r="H57" i="4"/>
  <c r="V53" i="4"/>
  <c r="U53" i="4"/>
  <c r="T54" i="4"/>
  <c r="I56" i="4"/>
  <c r="F56" i="4"/>
  <c r="AB56" i="4"/>
  <c r="O57" i="4"/>
  <c r="Q57" i="4" s="1"/>
  <c r="V55" i="4" l="1"/>
  <c r="U55" i="4"/>
  <c r="S55" i="4"/>
  <c r="AD55" i="4"/>
  <c r="W53" i="4"/>
  <c r="AE53" i="4"/>
  <c r="L57" i="4"/>
  <c r="K57" i="4"/>
  <c r="M57" i="4" s="1"/>
  <c r="AC57" i="4"/>
  <c r="N59" i="4"/>
  <c r="P59" i="4" s="1"/>
  <c r="J58" i="4"/>
  <c r="H58" i="4"/>
  <c r="O58" i="4"/>
  <c r="Q58" i="4" s="1"/>
  <c r="G56" i="4"/>
  <c r="R56" i="4"/>
  <c r="AA56" i="4"/>
  <c r="U54" i="4"/>
  <c r="V54" i="4"/>
  <c r="F57" i="4"/>
  <c r="AB57" i="4"/>
  <c r="I57" i="4"/>
  <c r="N60" i="4" l="1"/>
  <c r="P60" i="4" s="1"/>
  <c r="J59" i="4"/>
  <c r="H59" i="4"/>
  <c r="T56" i="4"/>
  <c r="S56" i="4"/>
  <c r="AD56" i="4"/>
  <c r="L58" i="4"/>
  <c r="AC58" i="4"/>
  <c r="K58" i="4"/>
  <c r="M58" i="4" s="1"/>
  <c r="G57" i="4"/>
  <c r="AA57" i="4"/>
  <c r="R57" i="4"/>
  <c r="AE54" i="4"/>
  <c r="W54" i="4"/>
  <c r="O59" i="4"/>
  <c r="Q59" i="4" s="1"/>
  <c r="AB58" i="4"/>
  <c r="I58" i="4"/>
  <c r="F58" i="4"/>
  <c r="W55" i="4"/>
  <c r="AE55" i="4"/>
  <c r="G58" i="4" l="1"/>
  <c r="AA58" i="4"/>
  <c r="R58" i="4"/>
  <c r="T58" i="4" s="1"/>
  <c r="U56" i="4"/>
  <c r="V56" i="4"/>
  <c r="O60" i="4"/>
  <c r="Q60" i="4" s="1"/>
  <c r="AB59" i="4"/>
  <c r="I59" i="4"/>
  <c r="F59" i="4"/>
  <c r="L59" i="4"/>
  <c r="AC59" i="4"/>
  <c r="K59" i="4"/>
  <c r="M59" i="4" s="1"/>
  <c r="T57" i="4"/>
  <c r="AD57" i="4"/>
  <c r="S57" i="4"/>
  <c r="N61" i="4"/>
  <c r="P61" i="4" s="1"/>
  <c r="J60" i="4"/>
  <c r="H60" i="4"/>
  <c r="I60" i="4" l="1"/>
  <c r="AB60" i="4"/>
  <c r="F60" i="4"/>
  <c r="O61" i="4"/>
  <c r="Q61" i="4" s="1"/>
  <c r="G59" i="4"/>
  <c r="R59" i="4"/>
  <c r="AA59" i="4"/>
  <c r="N62" i="4"/>
  <c r="P62" i="4" s="1"/>
  <c r="J61" i="4"/>
  <c r="H61" i="4"/>
  <c r="U57" i="4"/>
  <c r="V57" i="4"/>
  <c r="L60" i="4"/>
  <c r="K60" i="4"/>
  <c r="M60" i="4" s="1"/>
  <c r="AC60" i="4"/>
  <c r="AE56" i="4"/>
  <c r="W56" i="4"/>
  <c r="V58" i="4"/>
  <c r="U58" i="4"/>
  <c r="AD58" i="4"/>
  <c r="S58" i="4"/>
  <c r="I61" i="4" l="1"/>
  <c r="F61" i="4"/>
  <c r="AB61" i="4"/>
  <c r="N63" i="4"/>
  <c r="P63" i="4" s="1"/>
  <c r="J62" i="4"/>
  <c r="H62" i="4"/>
  <c r="T59" i="4"/>
  <c r="S59" i="4"/>
  <c r="AD59" i="4"/>
  <c r="L61" i="4"/>
  <c r="K61" i="4"/>
  <c r="M61" i="4" s="1"/>
  <c r="AC61" i="4"/>
  <c r="AE58" i="4"/>
  <c r="W58" i="4"/>
  <c r="O62" i="4"/>
  <c r="Q62" i="4" s="1"/>
  <c r="R60" i="4"/>
  <c r="G60" i="4"/>
  <c r="AA60" i="4"/>
  <c r="W57" i="4"/>
  <c r="AE57" i="4"/>
  <c r="U59" i="4" l="1"/>
  <c r="V59" i="4"/>
  <c r="T60" i="4"/>
  <c r="S60" i="4"/>
  <c r="AD60" i="4"/>
  <c r="N64" i="4"/>
  <c r="P64" i="4" s="1"/>
  <c r="J63" i="4"/>
  <c r="H63" i="4"/>
  <c r="AB62" i="4"/>
  <c r="I62" i="4"/>
  <c r="F62" i="4"/>
  <c r="L62" i="4"/>
  <c r="K62" i="4"/>
  <c r="M62" i="4" s="1"/>
  <c r="AC62" i="4"/>
  <c r="O63" i="4"/>
  <c r="Q63" i="4" s="1"/>
  <c r="G61" i="4"/>
  <c r="AA61" i="4"/>
  <c r="R61" i="4"/>
  <c r="L63" i="4" l="1"/>
  <c r="AC63" i="4"/>
  <c r="K63" i="4"/>
  <c r="M63" i="4" s="1"/>
  <c r="I63" i="4"/>
  <c r="F63" i="4"/>
  <c r="AB63" i="4"/>
  <c r="O64" i="4"/>
  <c r="Q64" i="4" s="1"/>
  <c r="AA62" i="4"/>
  <c r="R62" i="4"/>
  <c r="T62" i="4" s="1"/>
  <c r="G62" i="4"/>
  <c r="T61" i="4"/>
  <c r="AD61" i="4"/>
  <c r="S61" i="4"/>
  <c r="J64" i="4"/>
  <c r="N65" i="4"/>
  <c r="P65" i="4" s="1"/>
  <c r="H64" i="4"/>
  <c r="V60" i="4"/>
  <c r="U60" i="4"/>
  <c r="W59" i="4"/>
  <c r="AE59" i="4"/>
  <c r="AD62" i="4" l="1"/>
  <c r="S62" i="4"/>
  <c r="O65" i="4"/>
  <c r="Q65" i="4" s="1"/>
  <c r="U62" i="4"/>
  <c r="V62" i="4"/>
  <c r="AE60" i="4"/>
  <c r="W60" i="4"/>
  <c r="L64" i="4"/>
  <c r="AC64" i="4"/>
  <c r="K64" i="4"/>
  <c r="M64" i="4" s="1"/>
  <c r="AB64" i="4"/>
  <c r="I64" i="4"/>
  <c r="F64" i="4"/>
  <c r="N66" i="4"/>
  <c r="P66" i="4" s="1"/>
  <c r="J65" i="4"/>
  <c r="H65" i="4"/>
  <c r="G63" i="4"/>
  <c r="R63" i="4"/>
  <c r="AA63" i="4"/>
  <c r="U61" i="4"/>
  <c r="V61" i="4"/>
  <c r="AE61" i="4" l="1"/>
  <c r="W61" i="4"/>
  <c r="AD63" i="4"/>
  <c r="S63" i="4"/>
  <c r="T63" i="4"/>
  <c r="I65" i="4"/>
  <c r="F65" i="4"/>
  <c r="AB65" i="4"/>
  <c r="W62" i="4"/>
  <c r="AE62" i="4"/>
  <c r="AA64" i="4"/>
  <c r="R64" i="4"/>
  <c r="G64" i="4"/>
  <c r="L65" i="4"/>
  <c r="K65" i="4"/>
  <c r="M65" i="4" s="1"/>
  <c r="AC65" i="4"/>
  <c r="N67" i="4"/>
  <c r="P67" i="4" s="1"/>
  <c r="J66" i="4"/>
  <c r="H66" i="4"/>
  <c r="O66" i="4"/>
  <c r="Q66" i="4" s="1"/>
  <c r="I66" i="4" l="1"/>
  <c r="F66" i="4"/>
  <c r="AB66" i="4"/>
  <c r="L66" i="4"/>
  <c r="AC66" i="4"/>
  <c r="K66" i="4"/>
  <c r="M66" i="4" s="1"/>
  <c r="U63" i="4"/>
  <c r="V63" i="4"/>
  <c r="T64" i="4"/>
  <c r="S64" i="4"/>
  <c r="AD64" i="4"/>
  <c r="O67" i="4"/>
  <c r="Q67" i="4" s="1"/>
  <c r="G65" i="4"/>
  <c r="R65" i="4"/>
  <c r="T65" i="4" s="1"/>
  <c r="AA65" i="4"/>
  <c r="N68" i="4"/>
  <c r="P68" i="4" s="1"/>
  <c r="J67" i="4"/>
  <c r="H67" i="4"/>
  <c r="I67" i="4" l="1"/>
  <c r="AB67" i="4"/>
  <c r="F67" i="4"/>
  <c r="U64" i="4"/>
  <c r="V64" i="4"/>
  <c r="W63" i="4"/>
  <c r="AE63" i="4"/>
  <c r="N69" i="4"/>
  <c r="P69" i="4" s="1"/>
  <c r="J68" i="4"/>
  <c r="H68" i="4"/>
  <c r="L67" i="4"/>
  <c r="K67" i="4"/>
  <c r="M67" i="4" s="1"/>
  <c r="AC67" i="4"/>
  <c r="U65" i="4"/>
  <c r="V65" i="4"/>
  <c r="S65" i="4"/>
  <c r="AD65" i="4"/>
  <c r="R66" i="4"/>
  <c r="G66" i="4"/>
  <c r="AA66" i="4"/>
  <c r="O68" i="4"/>
  <c r="Q68" i="4" s="1"/>
  <c r="O69" i="4" l="1"/>
  <c r="Q69" i="4" s="1"/>
  <c r="I68" i="4"/>
  <c r="AB68" i="4"/>
  <c r="F68" i="4"/>
  <c r="T66" i="4"/>
  <c r="AD66" i="4"/>
  <c r="S66" i="4"/>
  <c r="W64" i="4"/>
  <c r="AE64" i="4"/>
  <c r="W65" i="4"/>
  <c r="AE65" i="4"/>
  <c r="L68" i="4"/>
  <c r="AC68" i="4"/>
  <c r="K68" i="4"/>
  <c r="M68" i="4" s="1"/>
  <c r="N70" i="4"/>
  <c r="P70" i="4" s="1"/>
  <c r="J69" i="4"/>
  <c r="H69" i="4"/>
  <c r="AA67" i="4"/>
  <c r="G67" i="4"/>
  <c r="R67" i="4"/>
  <c r="AD67" i="4" l="1"/>
  <c r="S67" i="4"/>
  <c r="T67" i="4"/>
  <c r="L69" i="4"/>
  <c r="AC69" i="4"/>
  <c r="K69" i="4"/>
  <c r="M69" i="4" s="1"/>
  <c r="N71" i="4"/>
  <c r="P71" i="4" s="1"/>
  <c r="J70" i="4"/>
  <c r="H70" i="4"/>
  <c r="I69" i="4"/>
  <c r="AB69" i="4"/>
  <c r="F69" i="4"/>
  <c r="U66" i="4"/>
  <c r="V66" i="4"/>
  <c r="R68" i="4"/>
  <c r="G68" i="4"/>
  <c r="AA68" i="4"/>
  <c r="T68" i="4"/>
  <c r="O70" i="4"/>
  <c r="Q70" i="4" s="1"/>
  <c r="AB70" i="4" l="1"/>
  <c r="I70" i="4"/>
  <c r="F70" i="4"/>
  <c r="U68" i="4"/>
  <c r="V68" i="4"/>
  <c r="AD68" i="4"/>
  <c r="S68" i="4"/>
  <c r="AE66" i="4"/>
  <c r="W66" i="4"/>
  <c r="L70" i="4"/>
  <c r="AC70" i="4"/>
  <c r="K70" i="4"/>
  <c r="M70" i="4" s="1"/>
  <c r="O71" i="4"/>
  <c r="Q71" i="4" s="1"/>
  <c r="J71" i="4"/>
  <c r="N72" i="4"/>
  <c r="P72" i="4" s="1"/>
  <c r="H71" i="4"/>
  <c r="U67" i="4"/>
  <c r="V67" i="4"/>
  <c r="R69" i="4"/>
  <c r="AA69" i="4"/>
  <c r="G69" i="4"/>
  <c r="F71" i="4" l="1"/>
  <c r="AB71" i="4"/>
  <c r="I71" i="4"/>
  <c r="N73" i="4"/>
  <c r="P73" i="4" s="1"/>
  <c r="J72" i="4"/>
  <c r="H72" i="4"/>
  <c r="T69" i="4"/>
  <c r="S69" i="4"/>
  <c r="AD69" i="4"/>
  <c r="AE67" i="4"/>
  <c r="W67" i="4"/>
  <c r="AE68" i="4"/>
  <c r="W68" i="4"/>
  <c r="L71" i="4"/>
  <c r="K71" i="4"/>
  <c r="M71" i="4" s="1"/>
  <c r="AC71" i="4"/>
  <c r="R70" i="4"/>
  <c r="AA70" i="4"/>
  <c r="G70" i="4"/>
  <c r="T70" i="4"/>
  <c r="O72" i="4"/>
  <c r="Q72" i="4" s="1"/>
  <c r="U70" i="4" l="1"/>
  <c r="V70" i="4"/>
  <c r="O73" i="4"/>
  <c r="Q73" i="4" s="1"/>
  <c r="U69" i="4"/>
  <c r="V69" i="4"/>
  <c r="L72" i="4"/>
  <c r="K72" i="4"/>
  <c r="M72" i="4" s="1"/>
  <c r="AC72" i="4"/>
  <c r="N74" i="4"/>
  <c r="P74" i="4" s="1"/>
  <c r="J73" i="4"/>
  <c r="H73" i="4"/>
  <c r="F72" i="4"/>
  <c r="I72" i="4"/>
  <c r="AB72" i="4"/>
  <c r="S70" i="4"/>
  <c r="AD70" i="4"/>
  <c r="G71" i="4"/>
  <c r="R71" i="4"/>
  <c r="AA71" i="4"/>
  <c r="N75" i="4" l="1"/>
  <c r="P75" i="4" s="1"/>
  <c r="J74" i="4"/>
  <c r="H74" i="4"/>
  <c r="W69" i="4"/>
  <c r="AE69" i="4"/>
  <c r="O74" i="4"/>
  <c r="Q74" i="4" s="1"/>
  <c r="W70" i="4"/>
  <c r="AE70" i="4"/>
  <c r="L73" i="4"/>
  <c r="K73" i="4"/>
  <c r="M73" i="4" s="1"/>
  <c r="AC73" i="4"/>
  <c r="T71" i="4"/>
  <c r="AD71" i="4"/>
  <c r="S71" i="4"/>
  <c r="R72" i="4"/>
  <c r="AA72" i="4"/>
  <c r="G72" i="4"/>
  <c r="T72" i="4"/>
  <c r="AB73" i="4"/>
  <c r="I73" i="4"/>
  <c r="F73" i="4"/>
  <c r="G73" i="4" l="1"/>
  <c r="R73" i="4"/>
  <c r="AA73" i="4"/>
  <c r="T73" i="4"/>
  <c r="U72" i="4"/>
  <c r="V72" i="4"/>
  <c r="AD72" i="4"/>
  <c r="S72" i="4"/>
  <c r="L74" i="4"/>
  <c r="K74" i="4"/>
  <c r="M74" i="4" s="1"/>
  <c r="AC74" i="4"/>
  <c r="O75" i="4"/>
  <c r="Q75" i="4" s="1"/>
  <c r="AB74" i="4"/>
  <c r="F74" i="4"/>
  <c r="I74" i="4"/>
  <c r="V71" i="4"/>
  <c r="U71" i="4"/>
  <c r="N76" i="4"/>
  <c r="P76" i="4" s="1"/>
  <c r="J75" i="4"/>
  <c r="H75" i="4"/>
  <c r="AB75" i="4" l="1"/>
  <c r="I75" i="4"/>
  <c r="F75" i="4"/>
  <c r="J76" i="4"/>
  <c r="H76" i="4"/>
  <c r="AE72" i="4"/>
  <c r="W72" i="4"/>
  <c r="V73" i="4"/>
  <c r="U73" i="4"/>
  <c r="L75" i="4"/>
  <c r="K75" i="4"/>
  <c r="M75" i="4" s="1"/>
  <c r="AC75" i="4"/>
  <c r="AE71" i="4"/>
  <c r="W71" i="4"/>
  <c r="AA74" i="4"/>
  <c r="R74" i="4"/>
  <c r="G74" i="4"/>
  <c r="T74" i="4"/>
  <c r="AD73" i="4"/>
  <c r="S73" i="4"/>
  <c r="O76" i="4"/>
  <c r="Q76" i="4" s="1"/>
  <c r="U74" i="4" l="1"/>
  <c r="V74" i="4"/>
  <c r="L76" i="4"/>
  <c r="K76" i="4"/>
  <c r="M76" i="4" s="1"/>
  <c r="AC76" i="4"/>
  <c r="AE73" i="4"/>
  <c r="W73" i="4"/>
  <c r="AB76" i="4"/>
  <c r="I76" i="4"/>
  <c r="F76" i="4"/>
  <c r="S74" i="4"/>
  <c r="AD74" i="4"/>
  <c r="R75" i="4"/>
  <c r="AA75" i="4"/>
  <c r="G75" i="4"/>
  <c r="T75" i="4"/>
  <c r="U75" i="4" l="1"/>
  <c r="V75" i="4"/>
  <c r="G76" i="4"/>
  <c r="AA76" i="4"/>
  <c r="R76" i="4"/>
  <c r="W74" i="4"/>
  <c r="AE74" i="4"/>
  <c r="S75" i="4"/>
  <c r="AD75" i="4"/>
  <c r="T76" i="4" l="1"/>
  <c r="S76" i="4"/>
  <c r="AD76" i="4"/>
  <c r="AE75" i="4"/>
  <c r="W75" i="4"/>
  <c r="V76" i="4" l="1"/>
  <c r="U76" i="4"/>
  <c r="AE76" i="4" l="1"/>
  <c r="W76" i="4"/>
</calcChain>
</file>

<file path=xl/sharedStrings.xml><?xml version="1.0" encoding="utf-8"?>
<sst xmlns="http://schemas.openxmlformats.org/spreadsheetml/2006/main" count="196" uniqueCount="112">
  <si>
    <t>Inlet</t>
  </si>
  <si>
    <t>psia</t>
  </si>
  <si>
    <t>F</t>
  </si>
  <si>
    <t>Rg</t>
  </si>
  <si>
    <t>ft-lbf/lbm-R</t>
  </si>
  <si>
    <t>Gamma</t>
  </si>
  <si>
    <t>-</t>
  </si>
  <si>
    <t>Specific heat ratio</t>
  </si>
  <si>
    <t>lbm-ft/lbf-s2</t>
  </si>
  <si>
    <t>mdot</t>
  </si>
  <si>
    <t>mass flow rate</t>
  </si>
  <si>
    <t>lbm/sec</t>
  </si>
  <si>
    <t>D</t>
  </si>
  <si>
    <t>inches</t>
  </si>
  <si>
    <t>pipe diameter</t>
  </si>
  <si>
    <t>ft</t>
  </si>
  <si>
    <t>A</t>
  </si>
  <si>
    <t>pipe area</t>
  </si>
  <si>
    <t>sq. inches</t>
  </si>
  <si>
    <t>sq. ft</t>
  </si>
  <si>
    <t>f(M)</t>
  </si>
  <si>
    <t>R</t>
  </si>
  <si>
    <t>degrees Rankine</t>
  </si>
  <si>
    <t>Z</t>
  </si>
  <si>
    <t>Outlet</t>
  </si>
  <si>
    <t>ft/s</t>
  </si>
  <si>
    <t>lbm/ft3</t>
  </si>
  <si>
    <t>degrees F</t>
  </si>
  <si>
    <t>Convert from F to R</t>
  </si>
  <si>
    <t>Btu/lbm</t>
  </si>
  <si>
    <t>Temperature</t>
  </si>
  <si>
    <t>ft_lbf/Btu</t>
  </si>
  <si>
    <t>ft/s (sonic velocity)</t>
  </si>
  <si>
    <t>L</t>
  </si>
  <si>
    <t>pipe length</t>
  </si>
  <si>
    <t>f</t>
  </si>
  <si>
    <t>fL/D</t>
  </si>
  <si>
    <t>M2</t>
  </si>
  <si>
    <t>Po1</t>
  </si>
  <si>
    <t>To1</t>
  </si>
  <si>
    <t>M1</t>
  </si>
  <si>
    <t>P1</t>
  </si>
  <si>
    <t>T1</t>
  </si>
  <si>
    <t>rho1</t>
  </si>
  <si>
    <t>V1</t>
  </si>
  <si>
    <t>h1</t>
  </si>
  <si>
    <t>ho1</t>
  </si>
  <si>
    <t>ho2</t>
  </si>
  <si>
    <t>From Saad page 94, solving for P2/P1 etc.</t>
  </si>
  <si>
    <t>P2</t>
  </si>
  <si>
    <t>T2</t>
  </si>
  <si>
    <t>Po2</t>
  </si>
  <si>
    <t>To2</t>
  </si>
  <si>
    <t>rho2</t>
  </si>
  <si>
    <t>V2</t>
  </si>
  <si>
    <t>h2</t>
  </si>
  <si>
    <t>Air gas constant</t>
  </si>
  <si>
    <t>kJ/kg-K</t>
  </si>
  <si>
    <t>m</t>
  </si>
  <si>
    <t>gc</t>
  </si>
  <si>
    <t>Convert from C to K</t>
  </si>
  <si>
    <t>Heat Conversion</t>
  </si>
  <si>
    <t>Convert Btu to lbf-ft</t>
  </si>
  <si>
    <t>Weight-Mass conversion</t>
  </si>
  <si>
    <t>cm</t>
  </si>
  <si>
    <t>sq cm</t>
  </si>
  <si>
    <t>sq m</t>
  </si>
  <si>
    <t>c</t>
  </si>
  <si>
    <t>T</t>
  </si>
  <si>
    <t>kPa</t>
  </si>
  <si>
    <t>kJ/kg</t>
  </si>
  <si>
    <t>kg/s</t>
  </si>
  <si>
    <t>Specific Heat</t>
  </si>
  <si>
    <t>Btu/lbm-R</t>
  </si>
  <si>
    <t>Average over range</t>
  </si>
  <si>
    <t>Iterate using goal seek</t>
  </si>
  <si>
    <t>iterate until this is zero</t>
  </si>
  <si>
    <t>c1</t>
  </si>
  <si>
    <t>c2</t>
  </si>
  <si>
    <t>Compressibility factor (=1 means ideal gas)</t>
  </si>
  <si>
    <t>difference</t>
  </si>
  <si>
    <t>kg-m/N-s2</t>
  </si>
  <si>
    <t>degress C</t>
  </si>
  <si>
    <t>Knowns</t>
  </si>
  <si>
    <t>General Data</t>
  </si>
  <si>
    <t>C</t>
  </si>
  <si>
    <t>kg/m3</t>
  </si>
  <si>
    <t>m/s</t>
  </si>
  <si>
    <t>m/s (sonic velocity)</t>
  </si>
  <si>
    <t>= cp* T (approximation)</t>
  </si>
  <si>
    <t>friction factor</t>
  </si>
  <si>
    <t>Choked Flow Calc</t>
  </si>
  <si>
    <t>Actual</t>
  </si>
  <si>
    <t>1. Flow is adiabatic and horizontal - stagnation enthalpy is constant - also if gas is calorically perfect then stagnation temperature is also constant</t>
  </si>
  <si>
    <t>Exit Mach Number, M2 =1 for choked flow, we can find everything else with fundamental relationships</t>
  </si>
  <si>
    <t>Using M1</t>
  </si>
  <si>
    <t>x</t>
  </si>
  <si>
    <t>M</t>
  </si>
  <si>
    <t>P</t>
  </si>
  <si>
    <t>Po</t>
  </si>
  <si>
    <t>To</t>
  </si>
  <si>
    <t>rho</t>
  </si>
  <si>
    <t>V</t>
  </si>
  <si>
    <t>x/L</t>
  </si>
  <si>
    <t>P/P1</t>
  </si>
  <si>
    <t>Po/Po1</t>
  </si>
  <si>
    <t>T/T1</t>
  </si>
  <si>
    <t>rho/rho1</t>
  </si>
  <si>
    <t>V/V1</t>
  </si>
  <si>
    <t>(lbm-R/lbf-ft)^0.5</t>
  </si>
  <si>
    <t>K</t>
  </si>
  <si>
    <t>lbm/ft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</si>
</sst>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0"/>
    <numFmt numFmtId="166" formatCode="0.000"/>
    <numFmt numFmtId="167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0" fontId="0" fillId="0" borderId="0" xfId="0" quotePrefix="1"/>
    <xf numFmtId="0" fontId="1" fillId="2" borderId="1" xfId="0" applyFont="1" applyFill="1" applyBorder="1"/>
    <xf numFmtId="165" fontId="0" fillId="3" borderId="0" xfId="0" applyNumberFormat="1" applyFill="1" applyAlignment="1">
      <alignment horizontal="right"/>
    </xf>
    <xf numFmtId="0" fontId="0" fillId="3" borderId="0" xfId="0" applyFill="1"/>
    <xf numFmtId="0" fontId="0" fillId="0" borderId="7" xfId="0" quotePrefix="1" applyBorder="1"/>
    <xf numFmtId="2" fontId="0" fillId="0" borderId="0" xfId="0" applyNumberFormat="1" applyAlignment="1">
      <alignment horizontal="left" indent="4"/>
    </xf>
    <xf numFmtId="166" fontId="0" fillId="4" borderId="0" xfId="0" applyNumberFormat="1" applyFill="1"/>
    <xf numFmtId="0" fontId="1" fillId="0" borderId="0" xfId="0" applyFont="1"/>
    <xf numFmtId="0" fontId="0" fillId="2" borderId="0" xfId="0" applyFill="1"/>
    <xf numFmtId="167" fontId="0" fillId="0" borderId="0" xfId="0" applyNumberFormat="1"/>
    <xf numFmtId="0" fontId="1" fillId="2" borderId="4" xfId="0" applyFont="1" applyFill="1" applyBorder="1"/>
    <xf numFmtId="0" fontId="0" fillId="2" borderId="2" xfId="0" applyFill="1" applyBorder="1"/>
    <xf numFmtId="0" fontId="0" fillId="0" borderId="4" xfId="0" applyBorder="1" applyAlignment="1">
      <alignment horizontal="right"/>
    </xf>
    <xf numFmtId="0" fontId="2" fillId="0" borderId="0" xfId="0" applyFont="1"/>
    <xf numFmtId="0" fontId="2" fillId="0" borderId="4" xfId="0" applyFont="1" applyBorder="1"/>
    <xf numFmtId="0" fontId="0" fillId="0" borderId="4" xfId="0" applyBorder="1" applyAlignment="1">
      <alignment horizontal="left"/>
    </xf>
    <xf numFmtId="0" fontId="1" fillId="5" borderId="0" xfId="0" applyFont="1" applyFill="1" applyAlignment="1">
      <alignment horizontal="center"/>
    </xf>
    <xf numFmtId="0" fontId="0" fillId="5" borderId="0" xfId="0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81496062992126E-2"/>
          <c:y val="0.18217430975634485"/>
          <c:w val="0.81653512245880511"/>
          <c:h val="0.6393606164036362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'Graph Data'!$Z$1</c:f>
              <c:strCache>
                <c:ptCount val="1"/>
                <c:pt idx="0">
                  <c:v>M</c:v>
                </c:pt>
              </c:strCache>
            </c:strRef>
          </c:tx>
          <c:spPr>
            <a:ln w="19050" cap="rnd">
              <a:solidFill>
                <a:srgbClr val="0000FF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'Graph Data'!$Y$3:$Y$76</c:f>
              <c:numCache>
                <c:formatCode>General</c:formatCode>
                <c:ptCount val="74"/>
                <c:pt idx="0">
                  <c:v>0</c:v>
                </c:pt>
                <c:pt idx="1">
                  <c:v>8.909701546049989E-2</c:v>
                </c:pt>
                <c:pt idx="2">
                  <c:v>0.16864297371242601</c:v>
                </c:pt>
                <c:pt idx="3">
                  <c:v>0.23989879277404158</c:v>
                </c:pt>
                <c:pt idx="4">
                  <c:v>0.30392585962550278</c:v>
                </c:pt>
                <c:pt idx="5">
                  <c:v>0.3616226454786613</c:v>
                </c:pt>
                <c:pt idx="6">
                  <c:v>0.41375372478322658</c:v>
                </c:pt>
                <c:pt idx="7">
                  <c:v>0.46097294597471522</c:v>
                </c:pt>
                <c:pt idx="8">
                  <c:v>0.50384206228392825</c:v>
                </c:pt>
                <c:pt idx="9">
                  <c:v>0.54284581075367389</c:v>
                </c:pt>
                <c:pt idx="10">
                  <c:v>0.57840419216521777</c:v>
                </c:pt>
                <c:pt idx="11">
                  <c:v>0.61088252983973856</c:v>
                </c:pt>
                <c:pt idx="12">
                  <c:v>0.64059975446761852</c:v>
                </c:pt>
                <c:pt idx="13">
                  <c:v>0.66783526338530863</c:v>
                </c:pt>
                <c:pt idx="14">
                  <c:v>0.69283462762120762</c:v>
                </c:pt>
                <c:pt idx="15">
                  <c:v>0.71581436249194041</c:v>
                </c:pt>
                <c:pt idx="16">
                  <c:v>0.73696593313712799</c:v>
                </c:pt>
                <c:pt idx="17">
                  <c:v>0.75645913190470748</c:v>
                </c:pt>
                <c:pt idx="18">
                  <c:v>0.774444937556936</c:v>
                </c:pt>
                <c:pt idx="19">
                  <c:v>0.7910579450875207</c:v>
                </c:pt>
                <c:pt idx="20">
                  <c:v>0.80641843819602432</c:v>
                </c:pt>
                <c:pt idx="21">
                  <c:v>0.8206341631562547</c:v>
                </c:pt>
                <c:pt idx="22">
                  <c:v>0.83380185218158687</c:v>
                </c:pt>
                <c:pt idx="23">
                  <c:v>0.8460085358521563</c:v>
                </c:pt>
                <c:pt idx="24">
                  <c:v>0.85733267728125506</c:v>
                </c:pt>
                <c:pt idx="25">
                  <c:v>0.86784515511686744</c:v>
                </c:pt>
                <c:pt idx="26">
                  <c:v>0.87761011793179677</c:v>
                </c:pt>
                <c:pt idx="27">
                  <c:v>0.88668572884350649</c:v>
                </c:pt>
                <c:pt idx="28">
                  <c:v>0.8951248161587948</c:v>
                </c:pt>
                <c:pt idx="29">
                  <c:v>0.90297544332956292</c:v>
                </c:pt>
                <c:pt idx="30">
                  <c:v>0.91028140943188229</c:v>
                </c:pt>
                <c:pt idx="31">
                  <c:v>0.91708268965986062</c:v>
                </c:pt>
                <c:pt idx="32">
                  <c:v>0.92341582389338539</c:v>
                </c:pt>
                <c:pt idx="33">
                  <c:v>0.92931426020244889</c:v>
                </c:pt>
                <c:pt idx="34">
                  <c:v>0.93480865914836442</c:v>
                </c:pt>
                <c:pt idx="35">
                  <c:v>0.93992716389973796</c:v>
                </c:pt>
                <c:pt idx="36">
                  <c:v>0.94469564047094079</c:v>
                </c:pt>
                <c:pt idx="37">
                  <c:v>0.94913789179055186</c:v>
                </c:pt>
                <c:pt idx="38">
                  <c:v>0.95327584879839178</c:v>
                </c:pt>
                <c:pt idx="39">
                  <c:v>0.95712974133729278</c:v>
                </c:pt>
                <c:pt idx="40">
                  <c:v>0.960718251237204</c:v>
                </c:pt>
                <c:pt idx="41">
                  <c:v>0.96405864967440946</c:v>
                </c:pt>
                <c:pt idx="42">
                  <c:v>0.96716692061902221</c:v>
                </c:pt>
                <c:pt idx="43">
                  <c:v>0.97005787195250159</c:v>
                </c:pt>
                <c:pt idx="44">
                  <c:v>0.97274523563784177</c:v>
                </c:pt>
                <c:pt idx="45">
                  <c:v>0.97524175815340963</c:v>
                </c:pt>
                <c:pt idx="46">
                  <c:v>0.97755928225307454</c:v>
                </c:pt>
                <c:pt idx="47">
                  <c:v>0.97970882098682766</c:v>
                </c:pt>
                <c:pt idx="48">
                  <c:v>0.98170062480464604</c:v>
                </c:pt>
                <c:pt idx="49">
                  <c:v>0.98354424246947081</c:v>
                </c:pt>
                <c:pt idx="50">
                  <c:v>0.98524857642077668</c:v>
                </c:pt>
                <c:pt idx="51">
                  <c:v>0.98682193315657574</c:v>
                </c:pt>
                <c:pt idx="52">
                  <c:v>0.98827206913730781</c:v>
                </c:pt>
                <c:pt idx="53">
                  <c:v>0.9896062326586913</c:v>
                </c:pt>
                <c:pt idx="54">
                  <c:v>0.99083120209114994</c:v>
                </c:pt>
                <c:pt idx="55">
                  <c:v>0.99195332083995202</c:v>
                </c:pt>
                <c:pt idx="56">
                  <c:v>0.99297852934194952</c:v>
                </c:pt>
                <c:pt idx="57">
                  <c:v>0.9939123943810767</c:v>
                </c:pt>
                <c:pt idx="58">
                  <c:v>0.99476013597497737</c:v>
                </c:pt>
                <c:pt idx="59">
                  <c:v>0.99552665205880719</c:v>
                </c:pt>
                <c:pt idx="60">
                  <c:v>0.99621654116892666</c:v>
                </c:pt>
                <c:pt idx="61">
                  <c:v>0.99683412330852461</c:v>
                </c:pt>
                <c:pt idx="62">
                  <c:v>0.99738345915883098</c:v>
                </c:pt>
                <c:pt idx="63">
                  <c:v>0.99786836778325794</c:v>
                </c:pt>
                <c:pt idx="64">
                  <c:v>0.99829244295724051</c:v>
                </c:pt>
                <c:pt idx="65">
                  <c:v>0.99865906824359596</c:v>
                </c:pt>
                <c:pt idx="66">
                  <c:v>0.99897143092162011</c:v>
                </c:pt>
                <c:pt idx="67">
                  <c:v>0.99923253486779628</c:v>
                </c:pt>
                <c:pt idx="68">
                  <c:v>0.99944521247671991</c:v>
                </c:pt>
                <c:pt idx="69">
                  <c:v>0.99961213570254448</c:v>
                </c:pt>
                <c:pt idx="70">
                  <c:v>0.99973582629378799</c:v>
                </c:pt>
                <c:pt idx="71">
                  <c:v>0.99981866528766627</c:v>
                </c:pt>
                <c:pt idx="72">
                  <c:v>0.99986290182408755</c:v>
                </c:pt>
                <c:pt idx="73">
                  <c:v>0.99987204743756275</c:v>
                </c:pt>
              </c:numCache>
            </c:numRef>
          </c:xVal>
          <c:yVal>
            <c:numRef>
              <c:f>'Graph Data'!$Z$3:$Z$76</c:f>
              <c:numCache>
                <c:formatCode>General</c:formatCode>
                <c:ptCount val="74"/>
                <c:pt idx="0">
                  <c:v>0.27282128954713225</c:v>
                </c:pt>
                <c:pt idx="1">
                  <c:v>0.28282128954713226</c:v>
                </c:pt>
                <c:pt idx="2">
                  <c:v>0.29282128954713227</c:v>
                </c:pt>
                <c:pt idx="3">
                  <c:v>0.30282128954713228</c:v>
                </c:pt>
                <c:pt idx="4">
                  <c:v>0.31282128954713229</c:v>
                </c:pt>
                <c:pt idx="5">
                  <c:v>0.3228212895471323</c:v>
                </c:pt>
                <c:pt idx="6">
                  <c:v>0.3328212895471323</c:v>
                </c:pt>
                <c:pt idx="7">
                  <c:v>0.34282128954713231</c:v>
                </c:pt>
                <c:pt idx="8">
                  <c:v>0.35282128954713232</c:v>
                </c:pt>
                <c:pt idx="9">
                  <c:v>0.36282128954713233</c:v>
                </c:pt>
                <c:pt idx="10">
                  <c:v>0.37282128954713234</c:v>
                </c:pt>
                <c:pt idx="11">
                  <c:v>0.38282128954713235</c:v>
                </c:pt>
                <c:pt idx="12">
                  <c:v>0.39282128954713236</c:v>
                </c:pt>
                <c:pt idx="13">
                  <c:v>0.40282128954713237</c:v>
                </c:pt>
                <c:pt idx="14">
                  <c:v>0.41282128954713238</c:v>
                </c:pt>
                <c:pt idx="15">
                  <c:v>0.42282128954713238</c:v>
                </c:pt>
                <c:pt idx="16">
                  <c:v>0.43282128954713239</c:v>
                </c:pt>
                <c:pt idx="17">
                  <c:v>0.4428212895471324</c:v>
                </c:pt>
                <c:pt idx="18">
                  <c:v>0.45282128954713241</c:v>
                </c:pt>
                <c:pt idx="19">
                  <c:v>0.46282128954713242</c:v>
                </c:pt>
                <c:pt idx="20">
                  <c:v>0.47282128954713243</c:v>
                </c:pt>
                <c:pt idx="21">
                  <c:v>0.48282128954713244</c:v>
                </c:pt>
                <c:pt idx="22">
                  <c:v>0.49282128954713245</c:v>
                </c:pt>
                <c:pt idx="23">
                  <c:v>0.50282128954713246</c:v>
                </c:pt>
                <c:pt idx="24">
                  <c:v>0.51282128954713246</c:v>
                </c:pt>
                <c:pt idx="25">
                  <c:v>0.52282128954713247</c:v>
                </c:pt>
                <c:pt idx="26">
                  <c:v>0.53282128954713248</c:v>
                </c:pt>
                <c:pt idx="27">
                  <c:v>0.54282128954713249</c:v>
                </c:pt>
                <c:pt idx="28">
                  <c:v>0.5528212895471325</c:v>
                </c:pt>
                <c:pt idx="29">
                  <c:v>0.56282128954713251</c:v>
                </c:pt>
                <c:pt idx="30">
                  <c:v>0.57282128954713252</c:v>
                </c:pt>
                <c:pt idx="31">
                  <c:v>0.58282128954713253</c:v>
                </c:pt>
                <c:pt idx="32">
                  <c:v>0.59282128954713253</c:v>
                </c:pt>
                <c:pt idx="33">
                  <c:v>0.60282128954713254</c:v>
                </c:pt>
                <c:pt idx="34">
                  <c:v>0.61282128954713255</c:v>
                </c:pt>
                <c:pt idx="35">
                  <c:v>0.62282128954713256</c:v>
                </c:pt>
                <c:pt idx="36">
                  <c:v>0.63282128954713257</c:v>
                </c:pt>
                <c:pt idx="37">
                  <c:v>0.64282128954713258</c:v>
                </c:pt>
                <c:pt idx="38">
                  <c:v>0.65282128954713259</c:v>
                </c:pt>
                <c:pt idx="39">
                  <c:v>0.6628212895471326</c:v>
                </c:pt>
                <c:pt idx="40">
                  <c:v>0.67282128954713261</c:v>
                </c:pt>
                <c:pt idx="41">
                  <c:v>0.68282128954713261</c:v>
                </c:pt>
                <c:pt idx="42">
                  <c:v>0.69282128954713262</c:v>
                </c:pt>
                <c:pt idx="43">
                  <c:v>0.70282128954713263</c:v>
                </c:pt>
                <c:pt idx="44">
                  <c:v>0.71282128954713264</c:v>
                </c:pt>
                <c:pt idx="45">
                  <c:v>0.72282128954713265</c:v>
                </c:pt>
                <c:pt idx="46">
                  <c:v>0.73282128954713266</c:v>
                </c:pt>
                <c:pt idx="47">
                  <c:v>0.74282128954713267</c:v>
                </c:pt>
                <c:pt idx="48">
                  <c:v>0.75282128954713268</c:v>
                </c:pt>
                <c:pt idx="49">
                  <c:v>0.76282128954713269</c:v>
                </c:pt>
                <c:pt idx="50">
                  <c:v>0.77282128954713269</c:v>
                </c:pt>
                <c:pt idx="51">
                  <c:v>0.7828212895471327</c:v>
                </c:pt>
                <c:pt idx="52">
                  <c:v>0.79282128954713271</c:v>
                </c:pt>
                <c:pt idx="53">
                  <c:v>0.80282128954713272</c:v>
                </c:pt>
                <c:pt idx="54">
                  <c:v>0.81282128954713273</c:v>
                </c:pt>
                <c:pt idx="55">
                  <c:v>0.82282128954713274</c:v>
                </c:pt>
                <c:pt idx="56">
                  <c:v>0.83282128954713275</c:v>
                </c:pt>
                <c:pt idx="57">
                  <c:v>0.84282128954713276</c:v>
                </c:pt>
                <c:pt idx="58">
                  <c:v>0.85282128954713277</c:v>
                </c:pt>
                <c:pt idx="59">
                  <c:v>0.86282128954713277</c:v>
                </c:pt>
                <c:pt idx="60">
                  <c:v>0.87282128954713278</c:v>
                </c:pt>
                <c:pt idx="61">
                  <c:v>0.88282128954713279</c:v>
                </c:pt>
                <c:pt idx="62">
                  <c:v>0.8928212895471328</c:v>
                </c:pt>
                <c:pt idx="63">
                  <c:v>0.90282128954713281</c:v>
                </c:pt>
                <c:pt idx="64">
                  <c:v>0.91282128954713282</c:v>
                </c:pt>
                <c:pt idx="65">
                  <c:v>0.92282128954713283</c:v>
                </c:pt>
                <c:pt idx="66">
                  <c:v>0.93282128954713284</c:v>
                </c:pt>
                <c:pt idx="67">
                  <c:v>0.94282128954713285</c:v>
                </c:pt>
                <c:pt idx="68">
                  <c:v>0.95282128954713285</c:v>
                </c:pt>
                <c:pt idx="69">
                  <c:v>0.96282128954713286</c:v>
                </c:pt>
                <c:pt idx="70">
                  <c:v>0.97282128954713287</c:v>
                </c:pt>
                <c:pt idx="71">
                  <c:v>0.98282128954713288</c:v>
                </c:pt>
                <c:pt idx="72">
                  <c:v>0.99282128954713289</c:v>
                </c:pt>
                <c:pt idx="73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CD7-4BBD-9039-6B098D546A1A}"/>
            </c:ext>
          </c:extLst>
        </c:ser>
        <c:ser>
          <c:idx val="1"/>
          <c:order val="1"/>
          <c:tx>
            <c:strRef>
              <c:f>'Graph Data'!$AA$1</c:f>
              <c:strCache>
                <c:ptCount val="1"/>
                <c:pt idx="0">
                  <c:v>P/P1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'Graph Data'!$Y$3:$Y$76</c:f>
              <c:numCache>
                <c:formatCode>General</c:formatCode>
                <c:ptCount val="74"/>
                <c:pt idx="0">
                  <c:v>0</c:v>
                </c:pt>
                <c:pt idx="1">
                  <c:v>8.909701546049989E-2</c:v>
                </c:pt>
                <c:pt idx="2">
                  <c:v>0.16864297371242601</c:v>
                </c:pt>
                <c:pt idx="3">
                  <c:v>0.23989879277404158</c:v>
                </c:pt>
                <c:pt idx="4">
                  <c:v>0.30392585962550278</c:v>
                </c:pt>
                <c:pt idx="5">
                  <c:v>0.3616226454786613</c:v>
                </c:pt>
                <c:pt idx="6">
                  <c:v>0.41375372478322658</c:v>
                </c:pt>
                <c:pt idx="7">
                  <c:v>0.46097294597471522</c:v>
                </c:pt>
                <c:pt idx="8">
                  <c:v>0.50384206228392825</c:v>
                </c:pt>
                <c:pt idx="9">
                  <c:v>0.54284581075367389</c:v>
                </c:pt>
                <c:pt idx="10">
                  <c:v>0.57840419216521777</c:v>
                </c:pt>
                <c:pt idx="11">
                  <c:v>0.61088252983973856</c:v>
                </c:pt>
                <c:pt idx="12">
                  <c:v>0.64059975446761852</c:v>
                </c:pt>
                <c:pt idx="13">
                  <c:v>0.66783526338530863</c:v>
                </c:pt>
                <c:pt idx="14">
                  <c:v>0.69283462762120762</c:v>
                </c:pt>
                <c:pt idx="15">
                  <c:v>0.71581436249194041</c:v>
                </c:pt>
                <c:pt idx="16">
                  <c:v>0.73696593313712799</c:v>
                </c:pt>
                <c:pt idx="17">
                  <c:v>0.75645913190470748</c:v>
                </c:pt>
                <c:pt idx="18">
                  <c:v>0.774444937556936</c:v>
                </c:pt>
                <c:pt idx="19">
                  <c:v>0.7910579450875207</c:v>
                </c:pt>
                <c:pt idx="20">
                  <c:v>0.80641843819602432</c:v>
                </c:pt>
                <c:pt idx="21">
                  <c:v>0.8206341631562547</c:v>
                </c:pt>
                <c:pt idx="22">
                  <c:v>0.83380185218158687</c:v>
                </c:pt>
                <c:pt idx="23">
                  <c:v>0.8460085358521563</c:v>
                </c:pt>
                <c:pt idx="24">
                  <c:v>0.85733267728125506</c:v>
                </c:pt>
                <c:pt idx="25">
                  <c:v>0.86784515511686744</c:v>
                </c:pt>
                <c:pt idx="26">
                  <c:v>0.87761011793179677</c:v>
                </c:pt>
                <c:pt idx="27">
                  <c:v>0.88668572884350649</c:v>
                </c:pt>
                <c:pt idx="28">
                  <c:v>0.8951248161587948</c:v>
                </c:pt>
                <c:pt idx="29">
                  <c:v>0.90297544332956292</c:v>
                </c:pt>
                <c:pt idx="30">
                  <c:v>0.91028140943188229</c:v>
                </c:pt>
                <c:pt idx="31">
                  <c:v>0.91708268965986062</c:v>
                </c:pt>
                <c:pt idx="32">
                  <c:v>0.92341582389338539</c:v>
                </c:pt>
                <c:pt idx="33">
                  <c:v>0.92931426020244889</c:v>
                </c:pt>
                <c:pt idx="34">
                  <c:v>0.93480865914836442</c:v>
                </c:pt>
                <c:pt idx="35">
                  <c:v>0.93992716389973796</c:v>
                </c:pt>
                <c:pt idx="36">
                  <c:v>0.94469564047094079</c:v>
                </c:pt>
                <c:pt idx="37">
                  <c:v>0.94913789179055186</c:v>
                </c:pt>
                <c:pt idx="38">
                  <c:v>0.95327584879839178</c:v>
                </c:pt>
                <c:pt idx="39">
                  <c:v>0.95712974133729278</c:v>
                </c:pt>
                <c:pt idx="40">
                  <c:v>0.960718251237204</c:v>
                </c:pt>
                <c:pt idx="41">
                  <c:v>0.96405864967440946</c:v>
                </c:pt>
                <c:pt idx="42">
                  <c:v>0.96716692061902221</c:v>
                </c:pt>
                <c:pt idx="43">
                  <c:v>0.97005787195250159</c:v>
                </c:pt>
                <c:pt idx="44">
                  <c:v>0.97274523563784177</c:v>
                </c:pt>
                <c:pt idx="45">
                  <c:v>0.97524175815340963</c:v>
                </c:pt>
                <c:pt idx="46">
                  <c:v>0.97755928225307454</c:v>
                </c:pt>
                <c:pt idx="47">
                  <c:v>0.97970882098682766</c:v>
                </c:pt>
                <c:pt idx="48">
                  <c:v>0.98170062480464604</c:v>
                </c:pt>
                <c:pt idx="49">
                  <c:v>0.98354424246947081</c:v>
                </c:pt>
                <c:pt idx="50">
                  <c:v>0.98524857642077668</c:v>
                </c:pt>
                <c:pt idx="51">
                  <c:v>0.98682193315657574</c:v>
                </c:pt>
                <c:pt idx="52">
                  <c:v>0.98827206913730781</c:v>
                </c:pt>
                <c:pt idx="53">
                  <c:v>0.9896062326586913</c:v>
                </c:pt>
                <c:pt idx="54">
                  <c:v>0.99083120209114994</c:v>
                </c:pt>
                <c:pt idx="55">
                  <c:v>0.99195332083995202</c:v>
                </c:pt>
                <c:pt idx="56">
                  <c:v>0.99297852934194952</c:v>
                </c:pt>
                <c:pt idx="57">
                  <c:v>0.9939123943810767</c:v>
                </c:pt>
                <c:pt idx="58">
                  <c:v>0.99476013597497737</c:v>
                </c:pt>
                <c:pt idx="59">
                  <c:v>0.99552665205880719</c:v>
                </c:pt>
                <c:pt idx="60">
                  <c:v>0.99621654116892666</c:v>
                </c:pt>
                <c:pt idx="61">
                  <c:v>0.99683412330852461</c:v>
                </c:pt>
                <c:pt idx="62">
                  <c:v>0.99738345915883098</c:v>
                </c:pt>
                <c:pt idx="63">
                  <c:v>0.99786836778325794</c:v>
                </c:pt>
                <c:pt idx="64">
                  <c:v>0.99829244295724051</c:v>
                </c:pt>
                <c:pt idx="65">
                  <c:v>0.99865906824359596</c:v>
                </c:pt>
                <c:pt idx="66">
                  <c:v>0.99897143092162011</c:v>
                </c:pt>
                <c:pt idx="67">
                  <c:v>0.99923253486779628</c:v>
                </c:pt>
                <c:pt idx="68">
                  <c:v>0.99944521247671991</c:v>
                </c:pt>
                <c:pt idx="69">
                  <c:v>0.99961213570254448</c:v>
                </c:pt>
                <c:pt idx="70">
                  <c:v>0.99973582629378799</c:v>
                </c:pt>
                <c:pt idx="71">
                  <c:v>0.99981866528766627</c:v>
                </c:pt>
                <c:pt idx="72">
                  <c:v>0.99986290182408755</c:v>
                </c:pt>
                <c:pt idx="73">
                  <c:v>0.99987204743756275</c:v>
                </c:pt>
              </c:numCache>
            </c:numRef>
          </c:xVal>
          <c:yVal>
            <c:numRef>
              <c:f>'Graph Data'!$AA$3:$AA$76</c:f>
              <c:numCache>
                <c:formatCode>General</c:formatCode>
                <c:ptCount val="74"/>
                <c:pt idx="0">
                  <c:v>1</c:v>
                </c:pt>
                <c:pt idx="1">
                  <c:v>0.96411428200096272</c:v>
                </c:pt>
                <c:pt idx="2">
                  <c:v>0.9306621316009539</c:v>
                </c:pt>
                <c:pt idx="3">
                  <c:v>0.8994025471184417</c:v>
                </c:pt>
                <c:pt idx="4">
                  <c:v>0.87012534593397095</c:v>
                </c:pt>
                <c:pt idx="5">
                  <c:v>0.84264639105700956</c:v>
                </c:pt>
                <c:pt idx="6">
                  <c:v>0.81680367823176747</c:v>
                </c:pt>
                <c:pt idx="7">
                  <c:v>0.79245410787027704</c:v>
                </c:pt>
                <c:pt idx="8">
                  <c:v>0.76947080594253903</c:v>
                </c:pt>
                <c:pt idx="9">
                  <c:v>0.74774088791213977</c:v>
                </c:pt>
                <c:pt idx="10">
                  <c:v>0.72716358253224955</c:v>
                </c:pt>
                <c:pt idx="11">
                  <c:v>0.70764864970050556</c:v>
                </c:pt>
                <c:pt idx="12">
                  <c:v>0.68911503997207946</c:v>
                </c:pt>
                <c:pt idx="13">
                  <c:v>0.67148975373697539</c:v>
                </c:pt>
                <c:pt idx="14">
                  <c:v>0.65470686620553631</c:v>
                </c:pt>
                <c:pt idx="15">
                  <c:v>0.63870669075188824</c:v>
                </c:pt>
                <c:pt idx="16">
                  <c:v>0.6234350582387731</c:v>
                </c:pt>
                <c:pt idx="17">
                  <c:v>0.60884269398977964</c:v>
                </c:pt>
                <c:pt idx="18">
                  <c:v>0.59488467731403727</c:v>
                </c:pt>
                <c:pt idx="19">
                  <c:v>0.58151997109765152</c:v>
                </c:pt>
                <c:pt idx="20">
                  <c:v>0.56871101108869748</c:v>
                </c:pt>
                <c:pt idx="21">
                  <c:v>0.55642334622135869</c:v>
                </c:pt>
                <c:pt idx="22">
                  <c:v>0.54462532272967035</c:v>
                </c:pt>
                <c:pt idx="23">
                  <c:v>0.53328780595474123</c:v>
                </c:pt>
                <c:pt idx="24">
                  <c:v>0.5223839347003344</c:v>
                </c:pt>
                <c:pt idx="25">
                  <c:v>0.51188890377895013</c:v>
                </c:pt>
                <c:pt idx="26">
                  <c:v>0.50177977104489091</c:v>
                </c:pt>
                <c:pt idx="27">
                  <c:v>0.49203528575657551</c:v>
                </c:pt>
                <c:pt idx="28">
                  <c:v>0.48263573556735456</c:v>
                </c:pt>
                <c:pt idx="29">
                  <c:v>0.47356280982795473</c:v>
                </c:pt>
                <c:pt idx="30">
                  <c:v>0.46479947720725473</c:v>
                </c:pt>
                <c:pt idx="31">
                  <c:v>0.45632987591170526</c:v>
                </c:pt>
                <c:pt idx="32">
                  <c:v>0.44813921501576937</c:v>
                </c:pt>
                <c:pt idx="33">
                  <c:v>0.44021368561318164</c:v>
                </c:pt>
                <c:pt idx="34">
                  <c:v>0.43254038066725553</c:v>
                </c:pt>
                <c:pt idx="35">
                  <c:v>0.42510722258255135</c:v>
                </c:pt>
                <c:pt idx="36">
                  <c:v>0.41790289764381833</c:v>
                </c:pt>
                <c:pt idx="37">
                  <c:v>0.41091679657441532</c:v>
                </c:pt>
                <c:pt idx="38">
                  <c:v>0.40413896055805104</c:v>
                </c:pt>
                <c:pt idx="39">
                  <c:v>0.39756003214688351</c:v>
                </c:pt>
                <c:pt idx="40">
                  <c:v>0.39117121054761561</c:v>
                </c:pt>
                <c:pt idx="41">
                  <c:v>0.38496421083679006</c:v>
                </c:pt>
                <c:pt idx="42">
                  <c:v>0.37893122670830093</c:v>
                </c:pt>
                <c:pt idx="43">
                  <c:v>0.373064896401333</c:v>
                </c:pt>
                <c:pt idx="44">
                  <c:v>0.3673582714964182</c:v>
                </c:pt>
                <c:pt idx="45">
                  <c:v>0.36180478830186197</c:v>
                </c:pt>
                <c:pt idx="46">
                  <c:v>0.35639824158311723</c:v>
                </c:pt>
                <c:pt idx="47">
                  <c:v>0.35113276041432617</c:v>
                </c:pt>
                <c:pt idx="48">
                  <c:v>0.34600278595471262</c:v>
                </c:pt>
                <c:pt idx="49">
                  <c:v>0.34100305097320266</c:v>
                </c:pt>
                <c:pt idx="50">
                  <c:v>0.33612856096292892</c:v>
                </c:pt>
                <c:pt idx="51">
                  <c:v>0.33137457670346382</c:v>
                </c:pt>
                <c:pt idx="52">
                  <c:v>0.3267365981429613</c:v>
                </c:pt>
                <c:pt idx="53">
                  <c:v>0.322210349485132</c:v>
                </c:pt>
                <c:pt idx="54">
                  <c:v>0.31779176537729575</c:v>
                </c:pt>
                <c:pt idx="55">
                  <c:v>0.31347697810584763</c:v>
                </c:pt>
                <c:pt idx="56">
                  <c:v>0.30926230571446794</c:v>
                </c:pt>
                <c:pt idx="57">
                  <c:v>0.30514424096844334</c:v>
                </c:pt>
                <c:pt idx="58">
                  <c:v>0.30111944109565542</c:v>
                </c:pt>
                <c:pt idx="59">
                  <c:v>0.29718471824123127</c:v>
                </c:pt>
                <c:pt idx="60">
                  <c:v>0.29333703057862481</c:v>
                </c:pt>
                <c:pt idx="61">
                  <c:v>0.28957347402508293</c:v>
                </c:pt>
                <c:pt idx="62">
                  <c:v>0.28589127451411556</c:v>
                </c:pt>
                <c:pt idx="63">
                  <c:v>0.2822877807817849</c:v>
                </c:pt>
                <c:pt idx="64">
                  <c:v>0.27876045762741547</c:v>
                </c:pt>
                <c:pt idx="65">
                  <c:v>0.2753068796127392</c:v>
                </c:pt>
                <c:pt idx="66">
                  <c:v>0.27192472516657928</c:v>
                </c:pt>
                <c:pt idx="67">
                  <c:v>0.26861177106496292</c:v>
                </c:pt>
                <c:pt idx="68">
                  <c:v>0.2653658872590865</c:v>
                </c:pt>
                <c:pt idx="69">
                  <c:v>0.26218503202584259</c:v>
                </c:pt>
                <c:pt idx="70">
                  <c:v>0.25906724741770026</c:v>
                </c:pt>
                <c:pt idx="71">
                  <c:v>0.25601065499061959</c:v>
                </c:pt>
                <c:pt idx="72">
                  <c:v>0.25301345179039703</c:v>
                </c:pt>
                <c:pt idx="73">
                  <c:v>0.25089749626675911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CD7-4BBD-9039-6B098D546A1A}"/>
            </c:ext>
          </c:extLst>
        </c:ser>
        <c:ser>
          <c:idx val="2"/>
          <c:order val="2"/>
          <c:tx>
            <c:strRef>
              <c:f>'Graph Data'!$AB$1</c:f>
              <c:strCache>
                <c:ptCount val="1"/>
                <c:pt idx="0">
                  <c:v>Po/Po1</c:v>
                </c:pt>
              </c:strCache>
            </c:strRef>
          </c:tx>
          <c:spPr>
            <a:ln w="19050" cap="rnd">
              <a:solidFill>
                <a:srgbClr val="00FF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'Graph Data'!$Y$3:$Y$76</c:f>
              <c:numCache>
                <c:formatCode>General</c:formatCode>
                <c:ptCount val="74"/>
                <c:pt idx="0">
                  <c:v>0</c:v>
                </c:pt>
                <c:pt idx="1">
                  <c:v>8.909701546049989E-2</c:v>
                </c:pt>
                <c:pt idx="2">
                  <c:v>0.16864297371242601</c:v>
                </c:pt>
                <c:pt idx="3">
                  <c:v>0.23989879277404158</c:v>
                </c:pt>
                <c:pt idx="4">
                  <c:v>0.30392585962550278</c:v>
                </c:pt>
                <c:pt idx="5">
                  <c:v>0.3616226454786613</c:v>
                </c:pt>
                <c:pt idx="6">
                  <c:v>0.41375372478322658</c:v>
                </c:pt>
                <c:pt idx="7">
                  <c:v>0.46097294597471522</c:v>
                </c:pt>
                <c:pt idx="8">
                  <c:v>0.50384206228392825</c:v>
                </c:pt>
                <c:pt idx="9">
                  <c:v>0.54284581075367389</c:v>
                </c:pt>
                <c:pt idx="10">
                  <c:v>0.57840419216521777</c:v>
                </c:pt>
                <c:pt idx="11">
                  <c:v>0.61088252983973856</c:v>
                </c:pt>
                <c:pt idx="12">
                  <c:v>0.64059975446761852</c:v>
                </c:pt>
                <c:pt idx="13">
                  <c:v>0.66783526338530863</c:v>
                </c:pt>
                <c:pt idx="14">
                  <c:v>0.69283462762120762</c:v>
                </c:pt>
                <c:pt idx="15">
                  <c:v>0.71581436249194041</c:v>
                </c:pt>
                <c:pt idx="16">
                  <c:v>0.73696593313712799</c:v>
                </c:pt>
                <c:pt idx="17">
                  <c:v>0.75645913190470748</c:v>
                </c:pt>
                <c:pt idx="18">
                  <c:v>0.774444937556936</c:v>
                </c:pt>
                <c:pt idx="19">
                  <c:v>0.7910579450875207</c:v>
                </c:pt>
                <c:pt idx="20">
                  <c:v>0.80641843819602432</c:v>
                </c:pt>
                <c:pt idx="21">
                  <c:v>0.8206341631562547</c:v>
                </c:pt>
                <c:pt idx="22">
                  <c:v>0.83380185218158687</c:v>
                </c:pt>
                <c:pt idx="23">
                  <c:v>0.8460085358521563</c:v>
                </c:pt>
                <c:pt idx="24">
                  <c:v>0.85733267728125506</c:v>
                </c:pt>
                <c:pt idx="25">
                  <c:v>0.86784515511686744</c:v>
                </c:pt>
                <c:pt idx="26">
                  <c:v>0.87761011793179677</c:v>
                </c:pt>
                <c:pt idx="27">
                  <c:v>0.88668572884350649</c:v>
                </c:pt>
                <c:pt idx="28">
                  <c:v>0.8951248161587948</c:v>
                </c:pt>
                <c:pt idx="29">
                  <c:v>0.90297544332956292</c:v>
                </c:pt>
                <c:pt idx="30">
                  <c:v>0.91028140943188229</c:v>
                </c:pt>
                <c:pt idx="31">
                  <c:v>0.91708268965986062</c:v>
                </c:pt>
                <c:pt idx="32">
                  <c:v>0.92341582389338539</c:v>
                </c:pt>
                <c:pt idx="33">
                  <c:v>0.92931426020244889</c:v>
                </c:pt>
                <c:pt idx="34">
                  <c:v>0.93480865914836442</c:v>
                </c:pt>
                <c:pt idx="35">
                  <c:v>0.93992716389973796</c:v>
                </c:pt>
                <c:pt idx="36">
                  <c:v>0.94469564047094079</c:v>
                </c:pt>
                <c:pt idx="37">
                  <c:v>0.94913789179055186</c:v>
                </c:pt>
                <c:pt idx="38">
                  <c:v>0.95327584879839178</c:v>
                </c:pt>
                <c:pt idx="39">
                  <c:v>0.95712974133729278</c:v>
                </c:pt>
                <c:pt idx="40">
                  <c:v>0.960718251237204</c:v>
                </c:pt>
                <c:pt idx="41">
                  <c:v>0.96405864967440946</c:v>
                </c:pt>
                <c:pt idx="42">
                  <c:v>0.96716692061902221</c:v>
                </c:pt>
                <c:pt idx="43">
                  <c:v>0.97005787195250159</c:v>
                </c:pt>
                <c:pt idx="44">
                  <c:v>0.97274523563784177</c:v>
                </c:pt>
                <c:pt idx="45">
                  <c:v>0.97524175815340963</c:v>
                </c:pt>
                <c:pt idx="46">
                  <c:v>0.97755928225307454</c:v>
                </c:pt>
                <c:pt idx="47">
                  <c:v>0.97970882098682766</c:v>
                </c:pt>
                <c:pt idx="48">
                  <c:v>0.98170062480464604</c:v>
                </c:pt>
                <c:pt idx="49">
                  <c:v>0.98354424246947081</c:v>
                </c:pt>
                <c:pt idx="50">
                  <c:v>0.98524857642077668</c:v>
                </c:pt>
                <c:pt idx="51">
                  <c:v>0.98682193315657574</c:v>
                </c:pt>
                <c:pt idx="52">
                  <c:v>0.98827206913730781</c:v>
                </c:pt>
                <c:pt idx="53">
                  <c:v>0.9896062326586913</c:v>
                </c:pt>
                <c:pt idx="54">
                  <c:v>0.99083120209114994</c:v>
                </c:pt>
                <c:pt idx="55">
                  <c:v>0.99195332083995202</c:v>
                </c:pt>
                <c:pt idx="56">
                  <c:v>0.99297852934194952</c:v>
                </c:pt>
                <c:pt idx="57">
                  <c:v>0.9939123943810767</c:v>
                </c:pt>
                <c:pt idx="58">
                  <c:v>0.99476013597497737</c:v>
                </c:pt>
                <c:pt idx="59">
                  <c:v>0.99552665205880719</c:v>
                </c:pt>
                <c:pt idx="60">
                  <c:v>0.99621654116892666</c:v>
                </c:pt>
                <c:pt idx="61">
                  <c:v>0.99683412330852461</c:v>
                </c:pt>
                <c:pt idx="62">
                  <c:v>0.99738345915883098</c:v>
                </c:pt>
                <c:pt idx="63">
                  <c:v>0.99786836778325794</c:v>
                </c:pt>
                <c:pt idx="64">
                  <c:v>0.99829244295724051</c:v>
                </c:pt>
                <c:pt idx="65">
                  <c:v>0.99865906824359596</c:v>
                </c:pt>
                <c:pt idx="66">
                  <c:v>0.99897143092162011</c:v>
                </c:pt>
                <c:pt idx="67">
                  <c:v>0.99923253486779628</c:v>
                </c:pt>
                <c:pt idx="68">
                  <c:v>0.99944521247671991</c:v>
                </c:pt>
                <c:pt idx="69">
                  <c:v>0.99961213570254448</c:v>
                </c:pt>
                <c:pt idx="70">
                  <c:v>0.99973582629378799</c:v>
                </c:pt>
                <c:pt idx="71">
                  <c:v>0.99981866528766627</c:v>
                </c:pt>
                <c:pt idx="72">
                  <c:v>0.99986290182408755</c:v>
                </c:pt>
                <c:pt idx="73">
                  <c:v>0.99987204743756275</c:v>
                </c:pt>
              </c:numCache>
            </c:numRef>
          </c:xVal>
          <c:yVal>
            <c:numRef>
              <c:f>'Graph Data'!$AB$3:$AB$76</c:f>
              <c:numCache>
                <c:formatCode>General</c:formatCode>
                <c:ptCount val="74"/>
                <c:pt idx="0">
                  <c:v>1</c:v>
                </c:pt>
                <c:pt idx="1">
                  <c:v>0.96781425913080921</c:v>
                </c:pt>
                <c:pt idx="2">
                  <c:v>0.93794419925861339</c:v>
                </c:pt>
                <c:pt idx="3">
                  <c:v>0.91016114389813685</c:v>
                </c:pt>
                <c:pt idx="4">
                  <c:v>0.88426568318060073</c:v>
                </c:pt>
                <c:pt idx="5">
                  <c:v>0.86008314104842454</c:v>
                </c:pt>
                <c:pt idx="6">
                  <c:v>0.83745985961465408</c:v>
                </c:pt>
                <c:pt idx="7">
                  <c:v>0.81626013383188833</c:v>
                </c:pt>
                <c:pt idx="8">
                  <c:v>0.79636366744881171</c:v>
                </c:pt>
                <c:pt idx="9">
                  <c:v>0.77766344968104828</c:v>
                </c:pt>
                <c:pt idx="10">
                  <c:v>0.7600639736040562</c:v>
                </c:pt>
                <c:pt idx="11">
                  <c:v>0.74347973378318033</c:v>
                </c:pt>
                <c:pt idx="12">
                  <c:v>0.7278339533813426</c:v>
                </c:pt>
                <c:pt idx="13">
                  <c:v>0.71305750086703978</c:v>
                </c:pt>
                <c:pt idx="14">
                  <c:v>0.69908796417309782</c:v>
                </c:pt>
                <c:pt idx="15">
                  <c:v>0.68586885623948701</c:v>
                </c:pt>
                <c:pt idx="16">
                  <c:v>0.67334893069150925</c:v>
                </c:pt>
                <c:pt idx="17">
                  <c:v>0.66148159024345599</c:v>
                </c:pt>
                <c:pt idx="18">
                  <c:v>0.65022437349364348</c:v>
                </c:pt>
                <c:pt idx="19">
                  <c:v>0.63953850825441638</c:v>
                </c:pt>
                <c:pt idx="20">
                  <c:v>0.62938852156678959</c:v>
                </c:pt>
                <c:pt idx="21">
                  <c:v>0.61974189818152114</c:v>
                </c:pt>
                <c:pt idx="22">
                  <c:v>0.61056878062247766</c:v>
                </c:pt>
                <c:pt idx="23">
                  <c:v>0.6018417050434347</c:v>
                </c:pt>
                <c:pt idx="24">
                  <c:v>0.59353536799251838</c:v>
                </c:pt>
                <c:pt idx="25">
                  <c:v>0.58562641994608922</c:v>
                </c:pt>
                <c:pt idx="26">
                  <c:v>0.57809328209521205</c:v>
                </c:pt>
                <c:pt idx="27">
                  <c:v>0.57091598338614657</c:v>
                </c:pt>
                <c:pt idx="28">
                  <c:v>0.56407601525023443</c:v>
                </c:pt>
                <c:pt idx="29">
                  <c:v>0.55755620182308685</c:v>
                </c:pt>
                <c:pt idx="30">
                  <c:v>0.55134058376025519</c:v>
                </c:pt>
                <c:pt idx="31">
                  <c:v>0.54541431401636309</c:v>
                </c:pt>
                <c:pt idx="32">
                  <c:v>0.53976356417507088</c:v>
                </c:pt>
                <c:pt idx="33">
                  <c:v>0.53437544010469584</c:v>
                </c:pt>
                <c:pt idx="34">
                  <c:v>0.52923790587425945</c:v>
                </c:pt>
                <c:pt idx="35">
                  <c:v>0.52433971500156296</c:v>
                </c:pt>
                <c:pt idx="36">
                  <c:v>0.51967034822224345</c:v>
                </c:pt>
                <c:pt idx="37">
                  <c:v>0.51521995706971735</c:v>
                </c:pt>
                <c:pt idx="38">
                  <c:v>0.5109793126429234</c:v>
                </c:pt>
                <c:pt idx="39">
                  <c:v>0.50693975901398747</c:v>
                </c:pt>
                <c:pt idx="40">
                  <c:v>0.50309317079307359</c:v>
                </c:pt>
                <c:pt idx="41">
                  <c:v>0.49943191442424356</c:v>
                </c:pt>
                <c:pt idx="42">
                  <c:v>0.49594881283535847</c:v>
                </c:pt>
                <c:pt idx="43">
                  <c:v>0.49263711310796487</c:v>
                </c:pt>
                <c:pt idx="44">
                  <c:v>0.48949045687059867</c:v>
                </c:pt>
                <c:pt idx="45">
                  <c:v>0.48650285315176378</c:v>
                </c:pt>
                <c:pt idx="46">
                  <c:v>0.48366865345763188</c:v>
                </c:pt>
                <c:pt idx="47">
                  <c:v>0.4809825288648224</c:v>
                </c:pt>
                <c:pt idx="48">
                  <c:v>0.47843944894088425</c:v>
                </c:pt>
                <c:pt idx="49">
                  <c:v>0.47603466232477126</c:v>
                </c:pt>
                <c:pt idx="50">
                  <c:v>0.4737636788169412</c:v>
                </c:pt>
                <c:pt idx="51">
                  <c:v>0.47162225284410347</c:v>
                </c:pt>
                <c:pt idx="52">
                  <c:v>0.46960636817722734</c:v>
                </c:pt>
                <c:pt idx="53">
                  <c:v>0.46771222379355137</c:v>
                </c:pt>
                <c:pt idx="54">
                  <c:v>0.4659362207840605</c:v>
                </c:pt>
                <c:pt idx="55">
                  <c:v>0.46427495021749898</c:v>
                </c:pt>
                <c:pt idx="56">
                  <c:v>0.46272518188051309</c:v>
                </c:pt>
                <c:pt idx="57">
                  <c:v>0.46128385382116432</c:v>
                </c:pt>
                <c:pt idx="58">
                  <c:v>0.45994806262986532</c:v>
                </c:pt>
                <c:pt idx="59">
                  <c:v>0.45871505439791727</c:v>
                </c:pt>
                <c:pt idx="60">
                  <c:v>0.45758221629930257</c:v>
                </c:pt>
                <c:pt idx="61">
                  <c:v>0.45654706874631396</c:v>
                </c:pt>
                <c:pt idx="62">
                  <c:v>0.45560725807403274</c:v>
                </c:pt>
                <c:pt idx="63">
                  <c:v>0.45476054971264579</c:v>
                </c:pt>
                <c:pt idx="64">
                  <c:v>0.4540048218101988</c:v>
                </c:pt>
                <c:pt idx="65">
                  <c:v>0.45333805927161158</c:v>
                </c:pt>
                <c:pt idx="66">
                  <c:v>0.45275834818272354</c:v>
                </c:pt>
                <c:pt idx="67">
                  <c:v>0.45226387059077794</c:v>
                </c:pt>
                <c:pt idx="68">
                  <c:v>0.45185289961516534</c:v>
                </c:pt>
                <c:pt idx="69">
                  <c:v>0.45152379486440775</c:v>
                </c:pt>
                <c:pt idx="70">
                  <c:v>0.4512749981373535</c:v>
                </c:pt>
                <c:pt idx="71">
                  <c:v>0.45110502938833724</c:v>
                </c:pt>
                <c:pt idx="72">
                  <c:v>0.45101248293769691</c:v>
                </c:pt>
                <c:pt idx="73">
                  <c:v>0.45099303711724403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CD7-4BBD-9039-6B098D546A1A}"/>
            </c:ext>
          </c:extLst>
        </c:ser>
        <c:ser>
          <c:idx val="3"/>
          <c:order val="3"/>
          <c:tx>
            <c:strRef>
              <c:f>'Graph Data'!$AC$1</c:f>
              <c:strCache>
                <c:ptCount val="1"/>
                <c:pt idx="0">
                  <c:v>T/T1</c:v>
                </c:pt>
              </c:strCache>
            </c:strRef>
          </c:tx>
          <c:spPr>
            <a:ln w="19050" cap="rnd">
              <a:solidFill>
                <a:srgbClr val="FF99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'Graph Data'!$Y$3:$Y$76</c:f>
              <c:numCache>
                <c:formatCode>General</c:formatCode>
                <c:ptCount val="74"/>
                <c:pt idx="0">
                  <c:v>0</c:v>
                </c:pt>
                <c:pt idx="1">
                  <c:v>8.909701546049989E-2</c:v>
                </c:pt>
                <c:pt idx="2">
                  <c:v>0.16864297371242601</c:v>
                </c:pt>
                <c:pt idx="3">
                  <c:v>0.23989879277404158</c:v>
                </c:pt>
                <c:pt idx="4">
                  <c:v>0.30392585962550278</c:v>
                </c:pt>
                <c:pt idx="5">
                  <c:v>0.3616226454786613</c:v>
                </c:pt>
                <c:pt idx="6">
                  <c:v>0.41375372478322658</c:v>
                </c:pt>
                <c:pt idx="7">
                  <c:v>0.46097294597471522</c:v>
                </c:pt>
                <c:pt idx="8">
                  <c:v>0.50384206228392825</c:v>
                </c:pt>
                <c:pt idx="9">
                  <c:v>0.54284581075367389</c:v>
                </c:pt>
                <c:pt idx="10">
                  <c:v>0.57840419216521777</c:v>
                </c:pt>
                <c:pt idx="11">
                  <c:v>0.61088252983973856</c:v>
                </c:pt>
                <c:pt idx="12">
                  <c:v>0.64059975446761852</c:v>
                </c:pt>
                <c:pt idx="13">
                  <c:v>0.66783526338530863</c:v>
                </c:pt>
                <c:pt idx="14">
                  <c:v>0.69283462762120762</c:v>
                </c:pt>
                <c:pt idx="15">
                  <c:v>0.71581436249194041</c:v>
                </c:pt>
                <c:pt idx="16">
                  <c:v>0.73696593313712799</c:v>
                </c:pt>
                <c:pt idx="17">
                  <c:v>0.75645913190470748</c:v>
                </c:pt>
                <c:pt idx="18">
                  <c:v>0.774444937556936</c:v>
                </c:pt>
                <c:pt idx="19">
                  <c:v>0.7910579450875207</c:v>
                </c:pt>
                <c:pt idx="20">
                  <c:v>0.80641843819602432</c:v>
                </c:pt>
                <c:pt idx="21">
                  <c:v>0.8206341631562547</c:v>
                </c:pt>
                <c:pt idx="22">
                  <c:v>0.83380185218158687</c:v>
                </c:pt>
                <c:pt idx="23">
                  <c:v>0.8460085358521563</c:v>
                </c:pt>
                <c:pt idx="24">
                  <c:v>0.85733267728125506</c:v>
                </c:pt>
                <c:pt idx="25">
                  <c:v>0.86784515511686744</c:v>
                </c:pt>
                <c:pt idx="26">
                  <c:v>0.87761011793179677</c:v>
                </c:pt>
                <c:pt idx="27">
                  <c:v>0.88668572884350649</c:v>
                </c:pt>
                <c:pt idx="28">
                  <c:v>0.8951248161587948</c:v>
                </c:pt>
                <c:pt idx="29">
                  <c:v>0.90297544332956292</c:v>
                </c:pt>
                <c:pt idx="30">
                  <c:v>0.91028140943188229</c:v>
                </c:pt>
                <c:pt idx="31">
                  <c:v>0.91708268965986062</c:v>
                </c:pt>
                <c:pt idx="32">
                  <c:v>0.92341582389338539</c:v>
                </c:pt>
                <c:pt idx="33">
                  <c:v>0.92931426020244889</c:v>
                </c:pt>
                <c:pt idx="34">
                  <c:v>0.93480865914836442</c:v>
                </c:pt>
                <c:pt idx="35">
                  <c:v>0.93992716389973796</c:v>
                </c:pt>
                <c:pt idx="36">
                  <c:v>0.94469564047094079</c:v>
                </c:pt>
                <c:pt idx="37">
                  <c:v>0.94913789179055186</c:v>
                </c:pt>
                <c:pt idx="38">
                  <c:v>0.95327584879839178</c:v>
                </c:pt>
                <c:pt idx="39">
                  <c:v>0.95712974133729278</c:v>
                </c:pt>
                <c:pt idx="40">
                  <c:v>0.960718251237204</c:v>
                </c:pt>
                <c:pt idx="41">
                  <c:v>0.96405864967440946</c:v>
                </c:pt>
                <c:pt idx="42">
                  <c:v>0.96716692061902221</c:v>
                </c:pt>
                <c:pt idx="43">
                  <c:v>0.97005787195250159</c:v>
                </c:pt>
                <c:pt idx="44">
                  <c:v>0.97274523563784177</c:v>
                </c:pt>
                <c:pt idx="45">
                  <c:v>0.97524175815340963</c:v>
                </c:pt>
                <c:pt idx="46">
                  <c:v>0.97755928225307454</c:v>
                </c:pt>
                <c:pt idx="47">
                  <c:v>0.97970882098682766</c:v>
                </c:pt>
                <c:pt idx="48">
                  <c:v>0.98170062480464604</c:v>
                </c:pt>
                <c:pt idx="49">
                  <c:v>0.98354424246947081</c:v>
                </c:pt>
                <c:pt idx="50">
                  <c:v>0.98524857642077668</c:v>
                </c:pt>
                <c:pt idx="51">
                  <c:v>0.98682193315657574</c:v>
                </c:pt>
                <c:pt idx="52">
                  <c:v>0.98827206913730781</c:v>
                </c:pt>
                <c:pt idx="53">
                  <c:v>0.9896062326586913</c:v>
                </c:pt>
                <c:pt idx="54">
                  <c:v>0.99083120209114994</c:v>
                </c:pt>
                <c:pt idx="55">
                  <c:v>0.99195332083995202</c:v>
                </c:pt>
                <c:pt idx="56">
                  <c:v>0.99297852934194952</c:v>
                </c:pt>
                <c:pt idx="57">
                  <c:v>0.9939123943810767</c:v>
                </c:pt>
                <c:pt idx="58">
                  <c:v>0.99476013597497737</c:v>
                </c:pt>
                <c:pt idx="59">
                  <c:v>0.99552665205880719</c:v>
                </c:pt>
                <c:pt idx="60">
                  <c:v>0.99621654116892666</c:v>
                </c:pt>
                <c:pt idx="61">
                  <c:v>0.99683412330852461</c:v>
                </c:pt>
                <c:pt idx="62">
                  <c:v>0.99738345915883098</c:v>
                </c:pt>
                <c:pt idx="63">
                  <c:v>0.99786836778325794</c:v>
                </c:pt>
                <c:pt idx="64">
                  <c:v>0.99829244295724051</c:v>
                </c:pt>
                <c:pt idx="65">
                  <c:v>0.99865906824359596</c:v>
                </c:pt>
                <c:pt idx="66">
                  <c:v>0.99897143092162011</c:v>
                </c:pt>
                <c:pt idx="67">
                  <c:v>0.99923253486779628</c:v>
                </c:pt>
                <c:pt idx="68">
                  <c:v>0.99944521247671991</c:v>
                </c:pt>
                <c:pt idx="69">
                  <c:v>0.99961213570254448</c:v>
                </c:pt>
                <c:pt idx="70">
                  <c:v>0.99973582629378799</c:v>
                </c:pt>
                <c:pt idx="71">
                  <c:v>0.99981866528766627</c:v>
                </c:pt>
                <c:pt idx="72">
                  <c:v>0.99986290182408755</c:v>
                </c:pt>
                <c:pt idx="73">
                  <c:v>0.99987204743756275</c:v>
                </c:pt>
              </c:numCache>
            </c:numRef>
          </c:xVal>
          <c:yVal>
            <c:numRef>
              <c:f>'Graph Data'!$AC$3:$AC$76</c:f>
              <c:numCache>
                <c:formatCode>General</c:formatCode>
                <c:ptCount val="74"/>
                <c:pt idx="0">
                  <c:v>1</c:v>
                </c:pt>
                <c:pt idx="1">
                  <c:v>0.9989062127862891</c:v>
                </c:pt>
                <c:pt idx="2">
                  <c:v>0.9977755760223822</c:v>
                </c:pt>
                <c:pt idx="3">
                  <c:v>0.9966083479220339</c:v>
                </c:pt>
                <c:pt idx="4">
                  <c:v>0.99540479412579808</c:v>
                </c:pt>
                <c:pt idx="5">
                  <c:v>0.99416518755360805</c:v>
                </c:pt>
                <c:pt idx="6">
                  <c:v>0.99288980825413053</c:v>
                </c:pt>
                <c:pt idx="7">
                  <c:v>0.99157894325104656</c:v>
                </c:pt>
                <c:pt idx="8">
                  <c:v>0.99023288638641049</c:v>
                </c:pt>
                <c:pt idx="9">
                  <c:v>0.98885193816124151</c:v>
                </c:pt>
                <c:pt idx="10">
                  <c:v>0.98743640557350632</c:v>
                </c:pt>
                <c:pt idx="11">
                  <c:v>0.98598660195364407</c:v>
                </c:pt>
                <c:pt idx="12">
                  <c:v>0.98450284679779743</c:v>
                </c:pt>
                <c:pt idx="13">
                  <c:v>0.98298546559890498</c:v>
                </c:pt>
                <c:pt idx="14">
                  <c:v>0.98143478967581466</c:v>
                </c:pt>
                <c:pt idx="15">
                  <c:v>0.97985115600057826</c:v>
                </c:pt>
                <c:pt idx="16">
                  <c:v>0.97823490702408522</c:v>
                </c:pt>
                <c:pt idx="17">
                  <c:v>0.97658639050019713</c:v>
                </c:pt>
                <c:pt idx="18">
                  <c:v>0.97490595930853674</c:v>
                </c:pt>
                <c:pt idx="19">
                  <c:v>0.97319397127609686</c:v>
                </c:pt>
                <c:pt idx="20">
                  <c:v>0.97145078899782111</c:v>
                </c:pt>
                <c:pt idx="21">
                  <c:v>0.96967677965631338</c:v>
                </c:pt>
                <c:pt idx="22">
                  <c:v>0.96787231484083358</c:v>
                </c:pt>
                <c:pt idx="23">
                  <c:v>0.96603777036573024</c:v>
                </c:pt>
                <c:pt idx="24">
                  <c:v>0.96417352608846607</c:v>
                </c:pt>
                <c:pt idx="25">
                  <c:v>0.96227996572738006</c:v>
                </c:pt>
                <c:pt idx="26">
                  <c:v>0.96035747667934412</c:v>
                </c:pt>
                <c:pt idx="27">
                  <c:v>0.95840644983744883</c:v>
                </c:pt>
                <c:pt idx="28">
                  <c:v>0.95642727940887251</c:v>
                </c:pt>
                <c:pt idx="29">
                  <c:v>0.95442036273306885</c:v>
                </c:pt>
                <c:pt idx="30">
                  <c:v>0.95238610010041358</c:v>
                </c:pt>
                <c:pt idx="31">
                  <c:v>0.95032489457144675</c:v>
                </c:pt>
                <c:pt idx="32">
                  <c:v>0.9482371517968432</c:v>
                </c:pt>
                <c:pt idx="33">
                  <c:v>0.94612327983824096</c:v>
                </c:pt>
                <c:pt idx="34">
                  <c:v>0.94398368899005691</c:v>
                </c:pt>
                <c:pt idx="35">
                  <c:v>0.94181879160240967</c:v>
                </c:pt>
                <c:pt idx="36">
                  <c:v>0.9396290019052741</c:v>
                </c:pt>
                <c:pt idx="37">
                  <c:v>0.93741473583398216</c:v>
                </c:pt>
                <c:pt idx="38">
                  <c:v>0.9351764108561843</c:v>
                </c:pt>
                <c:pt idx="39">
                  <c:v>0.9329144458003823</c:v>
                </c:pt>
                <c:pt idx="40">
                  <c:v>0.93062926068613772</c:v>
                </c:pt>
                <c:pt idx="41">
                  <c:v>0.92832127655606178</c:v>
                </c:pt>
                <c:pt idx="42">
                  <c:v>0.92599091530968192</c:v>
                </c:pt>
                <c:pt idx="43">
                  <c:v>0.92363859953928373</c:v>
                </c:pt>
                <c:pt idx="44">
                  <c:v>0.92126475236781591</c:v>
                </c:pt>
                <c:pt idx="45">
                  <c:v>0.9188697972889478</c:v>
                </c:pt>
                <c:pt idx="46">
                  <c:v>0.91645415800936336</c:v>
                </c:pt>
                <c:pt idx="47">
                  <c:v>0.91401825829336814</c:v>
                </c:pt>
                <c:pt idx="48">
                  <c:v>0.91156252180988773</c:v>
                </c:pt>
                <c:pt idx="49">
                  <c:v>0.90908737198192646</c:v>
                </c:pt>
                <c:pt idx="50">
                  <c:v>0.90659323183855822</c:v>
                </c:pt>
                <c:pt idx="51">
                  <c:v>0.90408052386950555</c:v>
                </c:pt>
                <c:pt idx="52">
                  <c:v>0.90154966988237684</c:v>
                </c:pt>
                <c:pt idx="53">
                  <c:v>0.89900109086260549</c:v>
                </c:pt>
                <c:pt idx="54">
                  <c:v>0.89643520683615507</c:v>
                </c:pt>
                <c:pt idx="55">
                  <c:v>0.89385243673502668</c:v>
                </c:pt>
                <c:pt idx="56">
                  <c:v>0.89125319826562388</c:v>
                </c:pt>
                <c:pt idx="57">
                  <c:v>0.88863790778000551</c:v>
                </c:pt>
                <c:pt idx="58">
                  <c:v>0.88600698015007018</c:v>
                </c:pt>
                <c:pt idx="59">
                  <c:v>0.88336082864470111</c:v>
                </c:pt>
                <c:pt idx="60">
                  <c:v>0.88069986480990403</c:v>
                </c:pt>
                <c:pt idx="61">
                  <c:v>0.87802449835195895</c:v>
                </c:pt>
                <c:pt idx="62">
                  <c:v>0.87533513702361399</c:v>
                </c:pt>
                <c:pt idx="63">
                  <c:v>0.87263218651333452</c:v>
                </c:pt>
                <c:pt idx="64">
                  <c:v>0.86991605033762653</c:v>
                </c:pt>
                <c:pt idx="65">
                  <c:v>0.86718712973644541</c:v>
                </c:pt>
                <c:pt idx="66">
                  <c:v>0.86444582357169686</c:v>
                </c:pt>
                <c:pt idx="67">
                  <c:v>0.86169252822883879</c:v>
                </c:pt>
                <c:pt idx="68">
                  <c:v>0.85892763752158396</c:v>
                </c:pt>
                <c:pt idx="69">
                  <c:v>0.85615154259970538</c:v>
                </c:pt>
                <c:pt idx="70">
                  <c:v>0.85336463185993872</c:v>
                </c:pt>
                <c:pt idx="71">
                  <c:v>0.85056729085997718</c:v>
                </c:pt>
                <c:pt idx="72">
                  <c:v>0.84775990223554942</c:v>
                </c:pt>
                <c:pt idx="73">
                  <c:v>0.84573857600502689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CD7-4BBD-9039-6B098D546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01887"/>
        <c:axId val="201514367"/>
      </c:scatterChart>
      <c:valAx>
        <c:axId val="201501887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x/L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14367"/>
        <c:crosses val="autoZero"/>
        <c:crossBetween val="midCat"/>
        <c:majorUnit val="1"/>
        <c:minorUnit val="0.1"/>
      </c:valAx>
      <c:valAx>
        <c:axId val="2015143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\-#,##0" sourceLinked="0"/>
        <c:majorTickMark val="none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501887"/>
        <c:crosses val="autoZero"/>
        <c:crossBetween val="midCat"/>
        <c:majorUnit val="1"/>
        <c:minorUnit val="0.1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overlay val="0"/>
      <c:spPr>
        <a:noFill/>
        <a:ln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6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png"/><Relationship Id="rId1" Type="http://schemas.openxmlformats.org/officeDocument/2006/relationships/image" Target="../media/image1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48</xdr:row>
      <xdr:rowOff>28575</xdr:rowOff>
    </xdr:from>
    <xdr:to>
      <xdr:col>14</xdr:col>
      <xdr:colOff>255878</xdr:colOff>
      <xdr:row>53</xdr:row>
      <xdr:rowOff>89879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Object 2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100-00002E000000}"/>
                </a:ext>
              </a:extLst>
            </xdr:cNvPr>
            <xdr:cNvSpPr txBox="1"/>
          </xdr:nvSpPr>
          <xdr:spPr>
            <a:xfrm>
              <a:off x="3895725" y="901065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𝑓𝐿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d>
                      <m:d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−</m:t>
                        </m:r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e>
                    </m:d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+1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func>
                      <m:func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en-US" sz="1800" i="0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ln</m:t>
                        </m:r>
                      </m:fName>
                      <m:e>
                        <m:d>
                          <m:dPr>
                            <m:begChr m:val="["/>
                            <m:endChr m:val="]"/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</m:e>
                        </m:d>
                      </m:e>
                    </m:func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6" name="Object 21">
              <a:extLst>
                <a:ext uri="{63B3BB69-23CF-44E3-9099-C40C66FF867C}">
                  <a14:compatExt xmlns:a14="http://schemas.microsoft.com/office/drawing/2010/main" spid="_x0000_s1045"/>
                </a:ext>
                <a:ext uri="{FF2B5EF4-FFF2-40B4-BE49-F238E27FC236}">
                  <a16:creationId xmlns:a16="http://schemas.microsoft.com/office/drawing/2014/main" id="{9E53B102-9325-4FBB-87B6-8151D4B4E794}"/>
                </a:ext>
              </a:extLst>
            </xdr:cNvPr>
            <xdr:cNvSpPr txBox="1"/>
          </xdr:nvSpPr>
          <xdr:spPr>
            <a:xfrm>
              <a:off x="3895725" y="901065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𝑓𝐿/𝐷=1/𝛾 (1/〖𝑀_1〗^2 −1/〖𝑀_2〗^2 )+(𝛾+1)/2𝛾  ln⁡[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(〖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𝑀_1〗^2/〖𝑀_2〗^2 )((1+(𝛾−1)/2 〖𝑀_2〗^2)/(1+(𝛾−1)/2 〖𝑀_1〗^2 ))]</a:t>
              </a:r>
              <a:endParaRPr lang="en-US" sz="1800"/>
            </a:p>
          </xdr:txBody>
        </xdr:sp>
      </mc:Fallback>
    </mc:AlternateContent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533400</xdr:colOff>
          <xdr:row>64</xdr:row>
          <xdr:rowOff>95250</xdr:rowOff>
        </xdr:from>
        <xdr:to>
          <xdr:col>8</xdr:col>
          <xdr:colOff>495300</xdr:colOff>
          <xdr:row>68</xdr:row>
          <xdr:rowOff>19050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647700</xdr:colOff>
      <xdr:row>65</xdr:row>
      <xdr:rowOff>0</xdr:rowOff>
    </xdr:from>
    <xdr:to>
      <xdr:col>5</xdr:col>
      <xdr:colOff>600075</xdr:colOff>
      <xdr:row>65</xdr:row>
      <xdr:rowOff>123825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 flipV="1">
          <a:off x="3143250" y="11782425"/>
          <a:ext cx="1543050" cy="1809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419100</xdr:colOff>
      <xdr:row>70</xdr:row>
      <xdr:rowOff>95250</xdr:rowOff>
    </xdr:from>
    <xdr:to>
      <xdr:col>5</xdr:col>
      <xdr:colOff>104775</xdr:colOff>
      <xdr:row>71</xdr:row>
      <xdr:rowOff>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CxnSpPr/>
      </xdr:nvCxnSpPr>
      <xdr:spPr>
        <a:xfrm>
          <a:off x="2914650" y="10791825"/>
          <a:ext cx="1276350" cy="9525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304800</xdr:colOff>
      <xdr:row>72</xdr:row>
      <xdr:rowOff>114300</xdr:rowOff>
    </xdr:from>
    <xdr:to>
      <xdr:col>5</xdr:col>
      <xdr:colOff>161925</xdr:colOff>
      <xdr:row>76</xdr:row>
      <xdr:rowOff>14287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CxnSpPr/>
      </xdr:nvCxnSpPr>
      <xdr:spPr>
        <a:xfrm>
          <a:off x="2800350" y="11191875"/>
          <a:ext cx="1447800" cy="661987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552450</xdr:colOff>
      <xdr:row>75</xdr:row>
      <xdr:rowOff>123825</xdr:rowOff>
    </xdr:from>
    <xdr:to>
      <xdr:col>5</xdr:col>
      <xdr:colOff>152400</xdr:colOff>
      <xdr:row>78</xdr:row>
      <xdr:rowOff>114300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CxnSpPr/>
      </xdr:nvCxnSpPr>
      <xdr:spPr>
        <a:xfrm>
          <a:off x="3048000" y="11772900"/>
          <a:ext cx="1190625" cy="5619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438150</xdr:colOff>
      <xdr:row>77</xdr:row>
      <xdr:rowOff>114300</xdr:rowOff>
    </xdr:from>
    <xdr:to>
      <xdr:col>5</xdr:col>
      <xdr:colOff>161925</xdr:colOff>
      <xdr:row>80</xdr:row>
      <xdr:rowOff>142875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CxnSpPr/>
      </xdr:nvCxnSpPr>
      <xdr:spPr>
        <a:xfrm>
          <a:off x="2933700" y="12144375"/>
          <a:ext cx="1314450" cy="6000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79</xdr:row>
      <xdr:rowOff>133350</xdr:rowOff>
    </xdr:from>
    <xdr:to>
      <xdr:col>5</xdr:col>
      <xdr:colOff>190500</xdr:colOff>
      <xdr:row>83</xdr:row>
      <xdr:rowOff>95918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CxnSpPr>
          <a:endCxn id="4" idx="1"/>
        </xdr:cNvCxnSpPr>
      </xdr:nvCxnSpPr>
      <xdr:spPr>
        <a:xfrm>
          <a:off x="2752725" y="12544425"/>
          <a:ext cx="1524000" cy="72456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89</xdr:row>
      <xdr:rowOff>142875</xdr:rowOff>
    </xdr:from>
    <xdr:to>
      <xdr:col>5</xdr:col>
      <xdr:colOff>209550</xdr:colOff>
      <xdr:row>90</xdr:row>
      <xdr:rowOff>76200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CxnSpPr/>
      </xdr:nvCxnSpPr>
      <xdr:spPr>
        <a:xfrm>
          <a:off x="3171825" y="14458950"/>
          <a:ext cx="1123950" cy="1238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247650</xdr:colOff>
      <xdr:row>89</xdr:row>
      <xdr:rowOff>85725</xdr:rowOff>
    </xdr:from>
    <xdr:to>
      <xdr:col>2</xdr:col>
      <xdr:colOff>247651</xdr:colOff>
      <xdr:row>100</xdr:row>
      <xdr:rowOff>104774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CxnSpPr/>
      </xdr:nvCxnSpPr>
      <xdr:spPr>
        <a:xfrm>
          <a:off x="1981200" y="14401800"/>
          <a:ext cx="1" cy="21335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457200</xdr:colOff>
      <xdr:row>107</xdr:row>
      <xdr:rowOff>114300</xdr:rowOff>
    </xdr:from>
    <xdr:to>
      <xdr:col>4</xdr:col>
      <xdr:colOff>552450</xdr:colOff>
      <xdr:row>108</xdr:row>
      <xdr:rowOff>0</xdr:rowOff>
    </xdr:to>
    <xdr:cxnSp macro="">
      <xdr:nvCxnSpPr>
        <xdr:cNvPr id="39" name="Straight Connector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CxnSpPr/>
      </xdr:nvCxnSpPr>
      <xdr:spPr>
        <a:xfrm>
          <a:off x="2667000" y="17678400"/>
          <a:ext cx="1076325" cy="762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109</xdr:row>
      <xdr:rowOff>104775</xdr:rowOff>
    </xdr:from>
    <xdr:to>
      <xdr:col>4</xdr:col>
      <xdr:colOff>571500</xdr:colOff>
      <xdr:row>112</xdr:row>
      <xdr:rowOff>104775</xdr:rowOff>
    </xdr:to>
    <xdr:cxnSp macro="">
      <xdr:nvCxnSpPr>
        <xdr:cNvPr id="41" name="Straight Connector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CxnSpPr/>
      </xdr:nvCxnSpPr>
      <xdr:spPr>
        <a:xfrm>
          <a:off x="2752725" y="22440900"/>
          <a:ext cx="1295400" cy="5715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380999</xdr:colOff>
      <xdr:row>112</xdr:row>
      <xdr:rowOff>114299</xdr:rowOff>
    </xdr:from>
    <xdr:to>
      <xdr:col>4</xdr:col>
      <xdr:colOff>590550</xdr:colOff>
      <xdr:row>117</xdr:row>
      <xdr:rowOff>142875</xdr:rowOff>
    </xdr:to>
    <xdr:cxnSp macro="">
      <xdr:nvCxnSpPr>
        <xdr:cNvPr id="44" name="Straight Connector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CxnSpPr/>
      </xdr:nvCxnSpPr>
      <xdr:spPr>
        <a:xfrm>
          <a:off x="2876549" y="23021924"/>
          <a:ext cx="1190626" cy="981076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238125</xdr:colOff>
      <xdr:row>114</xdr:row>
      <xdr:rowOff>133349</xdr:rowOff>
    </xdr:from>
    <xdr:to>
      <xdr:col>4</xdr:col>
      <xdr:colOff>561975</xdr:colOff>
      <xdr:row>122</xdr:row>
      <xdr:rowOff>0</xdr:rowOff>
    </xdr:to>
    <xdr:cxnSp macro="">
      <xdr:nvCxnSpPr>
        <xdr:cNvPr id="48" name="Straight Connector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CxnSpPr/>
      </xdr:nvCxnSpPr>
      <xdr:spPr>
        <a:xfrm>
          <a:off x="2733675" y="23421974"/>
          <a:ext cx="1304925" cy="1390651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590552</xdr:colOff>
      <xdr:row>118</xdr:row>
      <xdr:rowOff>123826</xdr:rowOff>
    </xdr:from>
    <xdr:to>
      <xdr:col>4</xdr:col>
      <xdr:colOff>581028</xdr:colOff>
      <xdr:row>125</xdr:row>
      <xdr:rowOff>180978</xdr:rowOff>
    </xdr:to>
    <xdr:cxnSp macro="">
      <xdr:nvCxnSpPr>
        <xdr:cNvPr id="50" name="Straight Connector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CxnSpPr/>
      </xdr:nvCxnSpPr>
      <xdr:spPr>
        <a:xfrm>
          <a:off x="3086102" y="24174451"/>
          <a:ext cx="971551" cy="1200152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323853</xdr:colOff>
      <xdr:row>120</xdr:row>
      <xdr:rowOff>95254</xdr:rowOff>
    </xdr:from>
    <xdr:to>
      <xdr:col>4</xdr:col>
      <xdr:colOff>590553</xdr:colOff>
      <xdr:row>128</xdr:row>
      <xdr:rowOff>19053</xdr:rowOff>
    </xdr:to>
    <xdr:cxnSp macro="">
      <xdr:nvCxnSpPr>
        <xdr:cNvPr id="52" name="Straight Connector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CxnSpPr/>
      </xdr:nvCxnSpPr>
      <xdr:spPr>
        <a:xfrm>
          <a:off x="2819403" y="24526879"/>
          <a:ext cx="1247775" cy="12572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581027</xdr:colOff>
      <xdr:row>123</xdr:row>
      <xdr:rowOff>104777</xdr:rowOff>
    </xdr:from>
    <xdr:to>
      <xdr:col>5</xdr:col>
      <xdr:colOff>19050</xdr:colOff>
      <xdr:row>130</xdr:row>
      <xdr:rowOff>142875</xdr:rowOff>
    </xdr:to>
    <xdr:cxnSp macro="">
      <xdr:nvCxnSpPr>
        <xdr:cNvPr id="54" name="Straight Connector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CxnSpPr/>
      </xdr:nvCxnSpPr>
      <xdr:spPr>
        <a:xfrm>
          <a:off x="3076577" y="25107902"/>
          <a:ext cx="1028698" cy="118109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447675</xdr:colOff>
          <xdr:row>60</xdr:row>
          <xdr:rowOff>57150</xdr:rowOff>
        </xdr:from>
        <xdr:to>
          <xdr:col>11</xdr:col>
          <xdr:colOff>600075</xdr:colOff>
          <xdr:row>64</xdr:row>
          <xdr:rowOff>38100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1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257175</xdr:colOff>
          <xdr:row>88</xdr:row>
          <xdr:rowOff>114300</xdr:rowOff>
        </xdr:from>
        <xdr:to>
          <xdr:col>7</xdr:col>
          <xdr:colOff>285750</xdr:colOff>
          <xdr:row>92</xdr:row>
          <xdr:rowOff>66675</xdr:rowOff>
        </xdr:to>
        <xdr:sp macro="" textlink="">
          <xdr:nvSpPr>
            <xdr:cNvPr id="1035" name="Object 9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1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171450</xdr:colOff>
          <xdr:row>78</xdr:row>
          <xdr:rowOff>19050</xdr:rowOff>
        </xdr:from>
        <xdr:to>
          <xdr:col>7</xdr:col>
          <xdr:colOff>38100</xdr:colOff>
          <xdr:row>79</xdr:row>
          <xdr:rowOff>114300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1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600075</xdr:colOff>
          <xdr:row>81</xdr:row>
          <xdr:rowOff>180975</xdr:rowOff>
        </xdr:from>
        <xdr:to>
          <xdr:col>9</xdr:col>
          <xdr:colOff>104775</xdr:colOff>
          <xdr:row>85</xdr:row>
          <xdr:rowOff>104775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1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114300</xdr:colOff>
          <xdr:row>69</xdr:row>
          <xdr:rowOff>76200</xdr:rowOff>
        </xdr:from>
        <xdr:to>
          <xdr:col>9</xdr:col>
          <xdr:colOff>352425</xdr:colOff>
          <xdr:row>74</xdr:row>
          <xdr:rowOff>19050</xdr:rowOff>
        </xdr:to>
        <xdr:sp macro="" textlink="">
          <xdr:nvSpPr>
            <xdr:cNvPr id="1039" name="Object 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1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161925</xdr:colOff>
          <xdr:row>74</xdr:row>
          <xdr:rowOff>85725</xdr:rowOff>
        </xdr:from>
        <xdr:to>
          <xdr:col>8</xdr:col>
          <xdr:colOff>247650</xdr:colOff>
          <xdr:row>77</xdr:row>
          <xdr:rowOff>133350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1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190500</xdr:colOff>
          <xdr:row>80</xdr:row>
          <xdr:rowOff>0</xdr:rowOff>
        </xdr:from>
        <xdr:to>
          <xdr:col>6</xdr:col>
          <xdr:colOff>552450</xdr:colOff>
          <xdr:row>81</xdr:row>
          <xdr:rowOff>95250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1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115</xdr:row>
          <xdr:rowOff>76200</xdr:rowOff>
        </xdr:from>
        <xdr:to>
          <xdr:col>9</xdr:col>
          <xdr:colOff>219075</xdr:colOff>
          <xdr:row>120</xdr:row>
          <xdr:rowOff>19050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1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120</xdr:row>
          <xdr:rowOff>123825</xdr:rowOff>
        </xdr:from>
        <xdr:to>
          <xdr:col>8</xdr:col>
          <xdr:colOff>66675</xdr:colOff>
          <xdr:row>123</xdr:row>
          <xdr:rowOff>171450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1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581025</xdr:colOff>
          <xdr:row>105</xdr:row>
          <xdr:rowOff>171450</xdr:rowOff>
        </xdr:from>
        <xdr:to>
          <xdr:col>9</xdr:col>
          <xdr:colOff>171450</xdr:colOff>
          <xdr:row>110</xdr:row>
          <xdr:rowOff>57150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1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110</xdr:row>
          <xdr:rowOff>161925</xdr:rowOff>
        </xdr:from>
        <xdr:to>
          <xdr:col>8</xdr:col>
          <xdr:colOff>180975</xdr:colOff>
          <xdr:row>114</xdr:row>
          <xdr:rowOff>180975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1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</xdr:colOff>
          <xdr:row>125</xdr:row>
          <xdr:rowOff>76200</xdr:rowOff>
        </xdr:from>
        <xdr:to>
          <xdr:col>6</xdr:col>
          <xdr:colOff>485775</xdr:colOff>
          <xdr:row>126</xdr:row>
          <xdr:rowOff>171450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1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</xdr:colOff>
          <xdr:row>127</xdr:row>
          <xdr:rowOff>66675</xdr:rowOff>
        </xdr:from>
        <xdr:to>
          <xdr:col>6</xdr:col>
          <xdr:colOff>381000</xdr:colOff>
          <xdr:row>128</xdr:row>
          <xdr:rowOff>161925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1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38100</xdr:colOff>
          <xdr:row>129</xdr:row>
          <xdr:rowOff>38100</xdr:rowOff>
        </xdr:from>
        <xdr:to>
          <xdr:col>7</xdr:col>
          <xdr:colOff>66675</xdr:colOff>
          <xdr:row>132</xdr:row>
          <xdr:rowOff>180975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1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5</xdr:col>
      <xdr:colOff>190500</xdr:colOff>
      <xdr:row>81</xdr:row>
      <xdr:rowOff>171450</xdr:rowOff>
    </xdr:from>
    <xdr:to>
      <xdr:col>6</xdr:col>
      <xdr:colOff>472234</xdr:colOff>
      <xdr:row>85</xdr:row>
      <xdr:rowOff>20386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Object 17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4276725" y="129635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𝑉</m:t>
                        </m:r>
                      </m:num>
                      <m:den>
                        <m:r>
                          <a:rPr lang="en-US" sz="18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" name="Object 17">
              <a:extLst>
                <a:ext uri="{63B3BB69-23CF-44E3-9099-C40C66FF867C}">
                  <a14:compatExt xmlns:a14="http://schemas.microsoft.com/office/drawing/2010/main" spid="_x0000_s1041"/>
                </a:ex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4276725" y="129635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𝑀=𝑉/</a:t>
              </a:r>
              <a:r>
                <a:rPr lang="en-US" sz="18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𝑐</a:t>
              </a:r>
              <a:endParaRPr lang="en-US" sz="1800"/>
            </a:p>
          </xdr:txBody>
        </xdr:sp>
      </mc:Fallback>
    </mc:AlternateContent>
    <xdr:clientData/>
  </xdr:twoCellAnchor>
  <xdr:twoCellAnchor>
    <xdr:from>
      <xdr:col>5</xdr:col>
      <xdr:colOff>19050</xdr:colOff>
      <xdr:row>133</xdr:row>
      <xdr:rowOff>76200</xdr:rowOff>
    </xdr:from>
    <xdr:to>
      <xdr:col>6</xdr:col>
      <xdr:colOff>300784</xdr:colOff>
      <xdr:row>136</xdr:row>
      <xdr:rowOff>115636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Object 38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4105275" y="269843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5" name="Object 38">
              <a:extLst>
                <a:ext uri="{63B3BB69-23CF-44E3-9099-C40C66FF867C}">
                  <a14:compatExt xmlns:a14="http://schemas.microsoft.com/office/drawing/2010/main" spid="_x0000_s1062"/>
                </a:ex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4105275" y="269843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𝑀=𝑉/𝑐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xdr:twoCellAnchor editAs="oneCell">
    <xdr:from>
      <xdr:col>0</xdr:col>
      <xdr:colOff>285750</xdr:colOff>
      <xdr:row>26</xdr:row>
      <xdr:rowOff>161830</xdr:rowOff>
    </xdr:from>
    <xdr:to>
      <xdr:col>5</xdr:col>
      <xdr:colOff>170954</xdr:colOff>
      <xdr:row>34</xdr:row>
      <xdr:rowOff>171351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85750" y="4943380"/>
          <a:ext cx="3971429" cy="1533521"/>
        </a:xfrm>
        <a:prstGeom prst="rect">
          <a:avLst/>
        </a:prstGeom>
        <a:noFill/>
        <a:ln w="25400">
          <a:solidFill>
            <a:srgbClr val="FF0000"/>
          </a:solidFill>
        </a:ln>
      </xdr:spPr>
    </xdr:pic>
    <xdr:clientData/>
  </xdr:twoCellAnchor>
  <xdr:twoCellAnchor>
    <xdr:from>
      <xdr:col>3</xdr:col>
      <xdr:colOff>314327</xdr:colOff>
      <xdr:row>125</xdr:row>
      <xdr:rowOff>114302</xdr:rowOff>
    </xdr:from>
    <xdr:to>
      <xdr:col>5</xdr:col>
      <xdr:colOff>19050</xdr:colOff>
      <xdr:row>135</xdr:row>
      <xdr:rowOff>668</xdr:rowOff>
    </xdr:to>
    <xdr:cxnSp macro="">
      <xdr:nvCxnSpPr>
        <xdr:cNvPr id="34" name="Straight Connector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CxnSpPr>
          <a:endCxn id="5" idx="1"/>
        </xdr:cNvCxnSpPr>
      </xdr:nvCxnSpPr>
      <xdr:spPr>
        <a:xfrm>
          <a:off x="2809877" y="25498427"/>
          <a:ext cx="1295398" cy="1791366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76200</xdr:colOff>
      <xdr:row>49</xdr:row>
      <xdr:rowOff>19050</xdr:rowOff>
    </xdr:from>
    <xdr:to>
      <xdr:col>4</xdr:col>
      <xdr:colOff>514350</xdr:colOff>
      <xdr:row>49</xdr:row>
      <xdr:rowOff>123825</xdr:rowOff>
    </xdr:to>
    <xdr:cxnSp macro="">
      <xdr:nvCxnSpPr>
        <xdr:cNvPr id="37" name="Straight Connector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CxnSpPr/>
      </xdr:nvCxnSpPr>
      <xdr:spPr>
        <a:xfrm flipV="1">
          <a:off x="2571750" y="9191625"/>
          <a:ext cx="1419225" cy="1047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47625</xdr:colOff>
      <xdr:row>62</xdr:row>
      <xdr:rowOff>47625</xdr:rowOff>
    </xdr:from>
    <xdr:to>
      <xdr:col>4</xdr:col>
      <xdr:colOff>447675</xdr:colOff>
      <xdr:row>63</xdr:row>
      <xdr:rowOff>76200</xdr:rowOff>
    </xdr:to>
    <xdr:cxnSp macro="">
      <xdr:nvCxnSpPr>
        <xdr:cNvPr id="42" name="Straight Connector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CxnSpPr/>
      </xdr:nvCxnSpPr>
      <xdr:spPr>
        <a:xfrm flipV="1">
          <a:off x="2543175" y="10744200"/>
          <a:ext cx="1381125" cy="2190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0</xdr:colOff>
      <xdr:row>51</xdr:row>
      <xdr:rowOff>104775</xdr:rowOff>
    </xdr:from>
    <xdr:to>
      <xdr:col>4</xdr:col>
      <xdr:colOff>266449</xdr:colOff>
      <xdr:row>58</xdr:row>
      <xdr:rowOff>161751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33550" y="9658350"/>
          <a:ext cx="2009524" cy="13904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3</xdr:row>
      <xdr:rowOff>0</xdr:rowOff>
    </xdr:from>
    <xdr:to>
      <xdr:col>37</xdr:col>
      <xdr:colOff>171450</xdr:colOff>
      <xdr:row>14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EB75BE7-B3AD-4A8B-BC75-A2B09C7434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AFT%20Technical\1%20My%20Tech%20Papers\2024%20ASME%20PVP\Examples\Lumped%20Adiabatic%20Example%20-%20Example%206.1%20-%20with%20graph.xlsx" TargetMode="External"/><Relationship Id="rId1" Type="http://schemas.openxmlformats.org/officeDocument/2006/relationships/externalLinkPath" Target="Lumped%20Adiabatic%20Example%20-%20Example%206.1%20-%20with%20gra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raph Data"/>
    </sheetNames>
    <sheetDataSet>
      <sheetData sheetId="0">
        <row r="3">
          <cell r="AQ3" t="str">
            <v>M</v>
          </cell>
          <cell r="AR3" t="str">
            <v>P/P1</v>
          </cell>
          <cell r="AS3" t="str">
            <v>Po/Po1</v>
          </cell>
          <cell r="AT3" t="str">
            <v>T/T1</v>
          </cell>
        </row>
        <row r="5">
          <cell r="AP5">
            <v>0</v>
          </cell>
          <cell r="AQ5">
            <v>0.27282128954713225</v>
          </cell>
          <cell r="AR5">
            <v>1</v>
          </cell>
          <cell r="AS5">
            <v>1</v>
          </cell>
          <cell r="AT5">
            <v>1</v>
          </cell>
        </row>
        <row r="6">
          <cell r="AP6">
            <v>8.909701546049989E-2</v>
          </cell>
          <cell r="AQ6">
            <v>0.28282128954713226</v>
          </cell>
          <cell r="AR6">
            <v>0.96411428200096272</v>
          </cell>
          <cell r="AS6">
            <v>0.96781425913080921</v>
          </cell>
          <cell r="AT6">
            <v>0.9989062127862891</v>
          </cell>
        </row>
        <row r="7">
          <cell r="AP7">
            <v>0.16864297371242601</v>
          </cell>
          <cell r="AQ7">
            <v>0.29282128954713227</v>
          </cell>
          <cell r="AR7">
            <v>0.9306621316009539</v>
          </cell>
          <cell r="AS7">
            <v>0.93794419925861339</v>
          </cell>
          <cell r="AT7">
            <v>0.9977755760223822</v>
          </cell>
        </row>
        <row r="8">
          <cell r="AP8">
            <v>0.23989879277404158</v>
          </cell>
          <cell r="AQ8">
            <v>0.30282128954713228</v>
          </cell>
          <cell r="AR8">
            <v>0.8994025471184417</v>
          </cell>
          <cell r="AS8">
            <v>0.91016114389813685</v>
          </cell>
          <cell r="AT8">
            <v>0.9966083479220339</v>
          </cell>
        </row>
        <row r="9">
          <cell r="AP9">
            <v>0.30392585962550278</v>
          </cell>
          <cell r="AQ9">
            <v>0.31282128954713229</v>
          </cell>
          <cell r="AR9">
            <v>0.87012534593397095</v>
          </cell>
          <cell r="AS9">
            <v>0.88426568318060073</v>
          </cell>
          <cell r="AT9">
            <v>0.99540479412579808</v>
          </cell>
        </row>
        <row r="10">
          <cell r="AP10">
            <v>0.3616226454786613</v>
          </cell>
          <cell r="AQ10">
            <v>0.3228212895471323</v>
          </cell>
          <cell r="AR10">
            <v>0.84264639105700956</v>
          </cell>
          <cell r="AS10">
            <v>0.86008314104842454</v>
          </cell>
          <cell r="AT10">
            <v>0.99416518755360805</v>
          </cell>
        </row>
        <row r="11">
          <cell r="AP11">
            <v>0.41375372478322658</v>
          </cell>
          <cell r="AQ11">
            <v>0.3328212895471323</v>
          </cell>
          <cell r="AR11">
            <v>0.81680367823176747</v>
          </cell>
          <cell r="AS11">
            <v>0.83745985961465408</v>
          </cell>
          <cell r="AT11">
            <v>0.99288980825413053</v>
          </cell>
        </row>
        <row r="12">
          <cell r="AP12">
            <v>0.46097294597471522</v>
          </cell>
          <cell r="AQ12">
            <v>0.34282128954713231</v>
          </cell>
          <cell r="AR12">
            <v>0.79245410787027704</v>
          </cell>
          <cell r="AS12">
            <v>0.81626013383188833</v>
          </cell>
          <cell r="AT12">
            <v>0.99157894325104656</v>
          </cell>
        </row>
        <row r="13">
          <cell r="AP13">
            <v>0.50384206228392825</v>
          </cell>
          <cell r="AQ13">
            <v>0.35282128954713232</v>
          </cell>
          <cell r="AR13">
            <v>0.76947080594253903</v>
          </cell>
          <cell r="AS13">
            <v>0.79636366744881171</v>
          </cell>
          <cell r="AT13">
            <v>0.99023288638641049</v>
          </cell>
        </row>
        <row r="14">
          <cell r="AP14">
            <v>0.54284581075367389</v>
          </cell>
          <cell r="AQ14">
            <v>0.36282128954713233</v>
          </cell>
          <cell r="AR14">
            <v>0.74774088791213977</v>
          </cell>
          <cell r="AS14">
            <v>0.77766344968104828</v>
          </cell>
          <cell r="AT14">
            <v>0.98885193816124151</v>
          </cell>
        </row>
        <row r="15">
          <cell r="AP15">
            <v>0.57840419216521777</v>
          </cell>
          <cell r="AQ15">
            <v>0.37282128954713234</v>
          </cell>
          <cell r="AR15">
            <v>0.72716358253224955</v>
          </cell>
          <cell r="AS15">
            <v>0.7600639736040562</v>
          </cell>
          <cell r="AT15">
            <v>0.98743640557350632</v>
          </cell>
        </row>
        <row r="16">
          <cell r="AP16">
            <v>0.61088252983973856</v>
          </cell>
          <cell r="AQ16">
            <v>0.38282128954713235</v>
          </cell>
          <cell r="AR16">
            <v>0.70764864970050556</v>
          </cell>
          <cell r="AS16">
            <v>0.74347973378318033</v>
          </cell>
          <cell r="AT16">
            <v>0.98598660195364407</v>
          </cell>
        </row>
        <row r="17">
          <cell r="AP17">
            <v>0.64059975446761852</v>
          </cell>
          <cell r="AQ17">
            <v>0.39282128954713236</v>
          </cell>
          <cell r="AR17">
            <v>0.68911503997207946</v>
          </cell>
          <cell r="AS17">
            <v>0.7278339533813426</v>
          </cell>
          <cell r="AT17">
            <v>0.98450284679779743</v>
          </cell>
        </row>
        <row r="18">
          <cell r="AP18">
            <v>0.66783526338530863</v>
          </cell>
          <cell r="AQ18">
            <v>0.40282128954713237</v>
          </cell>
          <cell r="AR18">
            <v>0.67148975373697539</v>
          </cell>
          <cell r="AS18">
            <v>0.71305750086703978</v>
          </cell>
          <cell r="AT18">
            <v>0.98298546559890498</v>
          </cell>
        </row>
        <row r="19">
          <cell r="AP19">
            <v>0.69283462762120762</v>
          </cell>
          <cell r="AQ19">
            <v>0.41282128954713238</v>
          </cell>
          <cell r="AR19">
            <v>0.65470686620553631</v>
          </cell>
          <cell r="AS19">
            <v>0.69908796417309782</v>
          </cell>
          <cell r="AT19">
            <v>0.98143478967581466</v>
          </cell>
        </row>
        <row r="20">
          <cell r="AP20">
            <v>0.71581436249194041</v>
          </cell>
          <cell r="AQ20">
            <v>0.42282128954713238</v>
          </cell>
          <cell r="AR20">
            <v>0.63870669075188824</v>
          </cell>
          <cell r="AS20">
            <v>0.68586885623948701</v>
          </cell>
          <cell r="AT20">
            <v>0.97985115600057826</v>
          </cell>
        </row>
        <row r="21">
          <cell r="AP21">
            <v>0.73696593313712799</v>
          </cell>
          <cell r="AQ21">
            <v>0.43282128954713239</v>
          </cell>
          <cell r="AR21">
            <v>0.6234350582387731</v>
          </cell>
          <cell r="AS21">
            <v>0.67334893069150925</v>
          </cell>
          <cell r="AT21">
            <v>0.97823490702408522</v>
          </cell>
        </row>
        <row r="22">
          <cell r="AP22">
            <v>0.75645913190470748</v>
          </cell>
          <cell r="AQ22">
            <v>0.4428212895471324</v>
          </cell>
          <cell r="AR22">
            <v>0.60884269398977964</v>
          </cell>
          <cell r="AS22">
            <v>0.66148159024345599</v>
          </cell>
          <cell r="AT22">
            <v>0.97658639050019713</v>
          </cell>
        </row>
        <row r="23">
          <cell r="AP23">
            <v>0.774444937556936</v>
          </cell>
          <cell r="AQ23">
            <v>0.45282128954713241</v>
          </cell>
          <cell r="AR23">
            <v>0.59488467731403727</v>
          </cell>
          <cell r="AS23">
            <v>0.65022437349364348</v>
          </cell>
          <cell r="AT23">
            <v>0.97490595930853674</v>
          </cell>
        </row>
        <row r="24">
          <cell r="AP24">
            <v>0.7910579450875207</v>
          </cell>
          <cell r="AQ24">
            <v>0.46282128954713242</v>
          </cell>
          <cell r="AR24">
            <v>0.58151997109765152</v>
          </cell>
          <cell r="AS24">
            <v>0.63953850825441638</v>
          </cell>
          <cell r="AT24">
            <v>0.97319397127609686</v>
          </cell>
        </row>
        <row r="25">
          <cell r="AP25">
            <v>0.80641843819602432</v>
          </cell>
          <cell r="AQ25">
            <v>0.47282128954713243</v>
          </cell>
          <cell r="AR25">
            <v>0.56871101108869748</v>
          </cell>
          <cell r="AS25">
            <v>0.62938852156678959</v>
          </cell>
          <cell r="AT25">
            <v>0.97145078899782111</v>
          </cell>
        </row>
        <row r="26">
          <cell r="AP26">
            <v>0.8206341631562547</v>
          </cell>
          <cell r="AQ26">
            <v>0.48282128954713244</v>
          </cell>
          <cell r="AR26">
            <v>0.55642334622135869</v>
          </cell>
          <cell r="AS26">
            <v>0.61974189818152114</v>
          </cell>
          <cell r="AT26">
            <v>0.96967677965631338</v>
          </cell>
        </row>
        <row r="27">
          <cell r="AP27">
            <v>0.83380185218158687</v>
          </cell>
          <cell r="AQ27">
            <v>0.49282128954713245</v>
          </cell>
          <cell r="AR27">
            <v>0.54462532272967035</v>
          </cell>
          <cell r="AS27">
            <v>0.61056878062247766</v>
          </cell>
          <cell r="AT27">
            <v>0.96787231484083358</v>
          </cell>
        </row>
        <row r="28">
          <cell r="AP28">
            <v>0.8460085358521563</v>
          </cell>
          <cell r="AQ28">
            <v>0.50282128954713246</v>
          </cell>
          <cell r="AR28">
            <v>0.53328780595474123</v>
          </cell>
          <cell r="AS28">
            <v>0.6018417050434347</v>
          </cell>
          <cell r="AT28">
            <v>0.96603777036573024</v>
          </cell>
        </row>
        <row r="29">
          <cell r="AP29">
            <v>0.85733267728125506</v>
          </cell>
          <cell r="AQ29">
            <v>0.51282128954713246</v>
          </cell>
          <cell r="AR29">
            <v>0.5223839347003344</v>
          </cell>
          <cell r="AS29">
            <v>0.59353536799251838</v>
          </cell>
          <cell r="AT29">
            <v>0.96417352608846607</v>
          </cell>
        </row>
        <row r="30">
          <cell r="AP30">
            <v>0.86784515511686744</v>
          </cell>
          <cell r="AQ30">
            <v>0.52282128954713247</v>
          </cell>
          <cell r="AR30">
            <v>0.51188890377895013</v>
          </cell>
          <cell r="AS30">
            <v>0.58562641994608922</v>
          </cell>
          <cell r="AT30">
            <v>0.96227996572738006</v>
          </cell>
        </row>
        <row r="31">
          <cell r="AP31">
            <v>0.87761011793179677</v>
          </cell>
          <cell r="AQ31">
            <v>0.53282128954713248</v>
          </cell>
          <cell r="AR31">
            <v>0.50177977104489091</v>
          </cell>
          <cell r="AS31">
            <v>0.57809328209521205</v>
          </cell>
          <cell r="AT31">
            <v>0.96035747667934412</v>
          </cell>
        </row>
        <row r="32">
          <cell r="AP32">
            <v>0.88668572884350649</v>
          </cell>
          <cell r="AQ32">
            <v>0.54282128954713249</v>
          </cell>
          <cell r="AR32">
            <v>0.49203528575657551</v>
          </cell>
          <cell r="AS32">
            <v>0.57091598338614657</v>
          </cell>
          <cell r="AT32">
            <v>0.95840644983744883</v>
          </cell>
        </row>
        <row r="33">
          <cell r="AP33">
            <v>0.8951248161587948</v>
          </cell>
          <cell r="AQ33">
            <v>0.5528212895471325</v>
          </cell>
          <cell r="AR33">
            <v>0.48263573556735456</v>
          </cell>
          <cell r="AS33">
            <v>0.56407601525023443</v>
          </cell>
          <cell r="AT33">
            <v>0.95642727940887251</v>
          </cell>
        </row>
        <row r="34">
          <cell r="AP34">
            <v>0.90297544332956292</v>
          </cell>
          <cell r="AQ34">
            <v>0.56282128954713251</v>
          </cell>
          <cell r="AR34">
            <v>0.47356280982795473</v>
          </cell>
          <cell r="AS34">
            <v>0.55755620182308685</v>
          </cell>
          <cell r="AT34">
            <v>0.95442036273306885</v>
          </cell>
        </row>
        <row r="35">
          <cell r="AP35">
            <v>0.91028140943188229</v>
          </cell>
          <cell r="AQ35">
            <v>0.57282128954713252</v>
          </cell>
          <cell r="AR35">
            <v>0.46479947720725473</v>
          </cell>
          <cell r="AS35">
            <v>0.55134058376025519</v>
          </cell>
          <cell r="AT35">
            <v>0.95238610010041358</v>
          </cell>
        </row>
        <row r="36">
          <cell r="AP36">
            <v>0.91708268965986062</v>
          </cell>
          <cell r="AQ36">
            <v>0.58282128954713253</v>
          </cell>
          <cell r="AR36">
            <v>0.45632987591170526</v>
          </cell>
          <cell r="AS36">
            <v>0.54541431401636309</v>
          </cell>
          <cell r="AT36">
            <v>0.95032489457144675</v>
          </cell>
        </row>
        <row r="37">
          <cell r="AP37">
            <v>0.92341582389338539</v>
          </cell>
          <cell r="AQ37">
            <v>0.59282128954713253</v>
          </cell>
          <cell r="AR37">
            <v>0.44813921501576937</v>
          </cell>
          <cell r="AS37">
            <v>0.53976356417507088</v>
          </cell>
          <cell r="AT37">
            <v>0.9482371517968432</v>
          </cell>
        </row>
        <row r="38">
          <cell r="AP38">
            <v>0.92931426020244889</v>
          </cell>
          <cell r="AQ38">
            <v>0.60282128954713254</v>
          </cell>
          <cell r="AR38">
            <v>0.44021368561318164</v>
          </cell>
          <cell r="AS38">
            <v>0.53437544010469584</v>
          </cell>
          <cell r="AT38">
            <v>0.94612327983824096</v>
          </cell>
        </row>
        <row r="39">
          <cell r="AP39">
            <v>0.93480865914836442</v>
          </cell>
          <cell r="AQ39">
            <v>0.61282128954713255</v>
          </cell>
          <cell r="AR39">
            <v>0.43254038066725553</v>
          </cell>
          <cell r="AS39">
            <v>0.52923790587425945</v>
          </cell>
          <cell r="AT39">
            <v>0.94398368899005691</v>
          </cell>
        </row>
        <row r="40">
          <cell r="AP40">
            <v>0.93992716389973796</v>
          </cell>
          <cell r="AQ40">
            <v>0.62282128954713256</v>
          </cell>
          <cell r="AR40">
            <v>0.42510722258255135</v>
          </cell>
          <cell r="AS40">
            <v>0.52433971500156296</v>
          </cell>
          <cell r="AT40">
            <v>0.94181879160240967</v>
          </cell>
        </row>
        <row r="41">
          <cell r="AP41">
            <v>0.94469564047094079</v>
          </cell>
          <cell r="AQ41">
            <v>0.63282128954713257</v>
          </cell>
          <cell r="AR41">
            <v>0.41790289764381833</v>
          </cell>
          <cell r="AS41">
            <v>0.51967034822224345</v>
          </cell>
          <cell r="AT41">
            <v>0.9396290019052741</v>
          </cell>
        </row>
        <row r="42">
          <cell r="AP42">
            <v>0.94913789179055186</v>
          </cell>
          <cell r="AQ42">
            <v>0.64282128954713258</v>
          </cell>
          <cell r="AR42">
            <v>0.41091679657441532</v>
          </cell>
          <cell r="AS42">
            <v>0.51521995706971735</v>
          </cell>
          <cell r="AT42">
            <v>0.93741473583398216</v>
          </cell>
        </row>
        <row r="43">
          <cell r="AP43">
            <v>0.95327584879839178</v>
          </cell>
          <cell r="AQ43">
            <v>0.65282128954713259</v>
          </cell>
          <cell r="AR43">
            <v>0.40413896055805104</v>
          </cell>
          <cell r="AS43">
            <v>0.5109793126429234</v>
          </cell>
          <cell r="AT43">
            <v>0.9351764108561843</v>
          </cell>
        </row>
        <row r="44">
          <cell r="AP44">
            <v>0.95712974133729278</v>
          </cell>
          <cell r="AQ44">
            <v>0.6628212895471326</v>
          </cell>
          <cell r="AR44">
            <v>0.39756003214688351</v>
          </cell>
          <cell r="AS44">
            <v>0.50693975901398747</v>
          </cell>
          <cell r="AT44">
            <v>0.9329144458003823</v>
          </cell>
        </row>
        <row r="45">
          <cell r="AP45">
            <v>0.960718251237204</v>
          </cell>
          <cell r="AQ45">
            <v>0.67282128954713261</v>
          </cell>
          <cell r="AR45">
            <v>0.39117121054761561</v>
          </cell>
          <cell r="AS45">
            <v>0.50309317079307359</v>
          </cell>
          <cell r="AT45">
            <v>0.93062926068613772</v>
          </cell>
        </row>
        <row r="46">
          <cell r="AP46">
            <v>0.96405864967440946</v>
          </cell>
          <cell r="AQ46">
            <v>0.68282128954713261</v>
          </cell>
          <cell r="AR46">
            <v>0.38496421083679006</v>
          </cell>
          <cell r="AS46">
            <v>0.49943191442424356</v>
          </cell>
          <cell r="AT46">
            <v>0.92832127655606178</v>
          </cell>
        </row>
        <row r="47">
          <cell r="AP47">
            <v>0.96716692061902221</v>
          </cell>
          <cell r="AQ47">
            <v>0.69282128954713262</v>
          </cell>
          <cell r="AR47">
            <v>0.37893122670830093</v>
          </cell>
          <cell r="AS47">
            <v>0.49594881283535847</v>
          </cell>
          <cell r="AT47">
            <v>0.92599091530968192</v>
          </cell>
        </row>
        <row r="48">
          <cell r="AP48">
            <v>0.97005787195250159</v>
          </cell>
          <cell r="AQ48">
            <v>0.70282128954713263</v>
          </cell>
          <cell r="AR48">
            <v>0.373064896401333</v>
          </cell>
          <cell r="AS48">
            <v>0.49263711310796487</v>
          </cell>
          <cell r="AT48">
            <v>0.92363859953928373</v>
          </cell>
        </row>
        <row r="49">
          <cell r="AP49">
            <v>0.97274523563784177</v>
          </cell>
          <cell r="AQ49">
            <v>0.71282128954713264</v>
          </cell>
          <cell r="AR49">
            <v>0.3673582714964182</v>
          </cell>
          <cell r="AS49">
            <v>0.48949045687059867</v>
          </cell>
          <cell r="AT49">
            <v>0.92126475236781591</v>
          </cell>
        </row>
        <row r="50">
          <cell r="AP50">
            <v>0.97524175815340963</v>
          </cell>
          <cell r="AQ50">
            <v>0.72282128954713265</v>
          </cell>
          <cell r="AR50">
            <v>0.36180478830186197</v>
          </cell>
          <cell r="AS50">
            <v>0.48650285315176378</v>
          </cell>
          <cell r="AT50">
            <v>0.9188697972889478</v>
          </cell>
        </row>
        <row r="51">
          <cell r="AP51">
            <v>0.97755928225307454</v>
          </cell>
          <cell r="AQ51">
            <v>0.73282128954713266</v>
          </cell>
          <cell r="AR51">
            <v>0.35639824158311723</v>
          </cell>
          <cell r="AS51">
            <v>0.48366865345763188</v>
          </cell>
          <cell r="AT51">
            <v>0.91645415800936336</v>
          </cell>
        </row>
        <row r="52">
          <cell r="AP52">
            <v>0.97970882098682766</v>
          </cell>
          <cell r="AQ52">
            <v>0.74282128954713267</v>
          </cell>
          <cell r="AR52">
            <v>0.35113276041432617</v>
          </cell>
          <cell r="AS52">
            <v>0.4809825288648224</v>
          </cell>
          <cell r="AT52">
            <v>0.91401825829336814</v>
          </cell>
        </row>
        <row r="53">
          <cell r="AP53">
            <v>0.98170062480464604</v>
          </cell>
          <cell r="AQ53">
            <v>0.75282128954713268</v>
          </cell>
          <cell r="AR53">
            <v>0.34600278595471262</v>
          </cell>
          <cell r="AS53">
            <v>0.47843944894088425</v>
          </cell>
          <cell r="AT53">
            <v>0.91156252180988773</v>
          </cell>
        </row>
        <row r="54">
          <cell r="AP54">
            <v>0.98354424246947081</v>
          </cell>
          <cell r="AQ54">
            <v>0.76282128954713269</v>
          </cell>
          <cell r="AR54">
            <v>0.34100305097320266</v>
          </cell>
          <cell r="AS54">
            <v>0.47603466232477126</v>
          </cell>
          <cell r="AT54">
            <v>0.90908737198192646</v>
          </cell>
        </row>
        <row r="55">
          <cell r="AP55">
            <v>0.98524857642077668</v>
          </cell>
          <cell r="AQ55">
            <v>0.77282128954713269</v>
          </cell>
          <cell r="AR55">
            <v>0.33612856096292892</v>
          </cell>
          <cell r="AS55">
            <v>0.4737636788169412</v>
          </cell>
          <cell r="AT55">
            <v>0.90659323183855822</v>
          </cell>
        </row>
        <row r="56">
          <cell r="AP56">
            <v>0.98682193315657574</v>
          </cell>
          <cell r="AQ56">
            <v>0.7828212895471327</v>
          </cell>
          <cell r="AR56">
            <v>0.33137457670346382</v>
          </cell>
          <cell r="AS56">
            <v>0.47162225284410347</v>
          </cell>
          <cell r="AT56">
            <v>0.90408052386950555</v>
          </cell>
        </row>
        <row r="57">
          <cell r="AP57">
            <v>0.98827206913730781</v>
          </cell>
          <cell r="AQ57">
            <v>0.79282128954713271</v>
          </cell>
          <cell r="AR57">
            <v>0.3267365981429613</v>
          </cell>
          <cell r="AS57">
            <v>0.46960636817722734</v>
          </cell>
          <cell r="AT57">
            <v>0.90154966988237684</v>
          </cell>
        </row>
        <row r="58">
          <cell r="AP58">
            <v>0.9896062326586913</v>
          </cell>
          <cell r="AQ58">
            <v>0.80282128954713272</v>
          </cell>
          <cell r="AR58">
            <v>0.322210349485132</v>
          </cell>
          <cell r="AS58">
            <v>0.46771222379355137</v>
          </cell>
          <cell r="AT58">
            <v>0.89900109086260549</v>
          </cell>
        </row>
        <row r="59">
          <cell r="AP59">
            <v>0.99083120209114994</v>
          </cell>
          <cell r="AQ59">
            <v>0.81282128954713273</v>
          </cell>
          <cell r="AR59">
            <v>0.31779176537729575</v>
          </cell>
          <cell r="AS59">
            <v>0.4659362207840605</v>
          </cell>
          <cell r="AT59">
            <v>0.89643520683615507</v>
          </cell>
        </row>
        <row r="60">
          <cell r="AP60">
            <v>0.99195332083995202</v>
          </cell>
          <cell r="AQ60">
            <v>0.82282128954713274</v>
          </cell>
          <cell r="AR60">
            <v>0.31347697810584763</v>
          </cell>
          <cell r="AS60">
            <v>0.46427495021749898</v>
          </cell>
          <cell r="AT60">
            <v>0.89385243673502668</v>
          </cell>
        </row>
        <row r="61">
          <cell r="AP61">
            <v>0.99297852934194952</v>
          </cell>
          <cell r="AQ61">
            <v>0.83282128954713275</v>
          </cell>
          <cell r="AR61">
            <v>0.30926230571446794</v>
          </cell>
          <cell r="AS61">
            <v>0.46272518188051309</v>
          </cell>
          <cell r="AT61">
            <v>0.89125319826562388</v>
          </cell>
        </row>
        <row r="62">
          <cell r="AP62">
            <v>0.9939123943810767</v>
          </cell>
          <cell r="AQ62">
            <v>0.84282128954713276</v>
          </cell>
          <cell r="AR62">
            <v>0.30514424096844334</v>
          </cell>
          <cell r="AS62">
            <v>0.46128385382116432</v>
          </cell>
          <cell r="AT62">
            <v>0.88863790778000551</v>
          </cell>
        </row>
        <row r="63">
          <cell r="AP63">
            <v>0.99476013597497737</v>
          </cell>
          <cell r="AQ63">
            <v>0.85282128954713277</v>
          </cell>
          <cell r="AR63">
            <v>0.30111944109565542</v>
          </cell>
          <cell r="AS63">
            <v>0.45994806262986532</v>
          </cell>
          <cell r="AT63">
            <v>0.88600698015007018</v>
          </cell>
        </row>
        <row r="64">
          <cell r="AP64">
            <v>0.99552665205880719</v>
          </cell>
          <cell r="AQ64">
            <v>0.86282128954713277</v>
          </cell>
          <cell r="AR64">
            <v>0.29718471824123127</v>
          </cell>
          <cell r="AS64">
            <v>0.45871505439791727</v>
          </cell>
          <cell r="AT64">
            <v>0.88336082864470111</v>
          </cell>
        </row>
        <row r="65">
          <cell r="AP65">
            <v>0.99621654116892666</v>
          </cell>
          <cell r="AQ65">
            <v>0.87282128954713278</v>
          </cell>
          <cell r="AR65">
            <v>0.29333703057862481</v>
          </cell>
          <cell r="AS65">
            <v>0.45758221629930257</v>
          </cell>
          <cell r="AT65">
            <v>0.88069986480990403</v>
          </cell>
        </row>
        <row r="66">
          <cell r="AP66">
            <v>0.99683412330852461</v>
          </cell>
          <cell r="AQ66">
            <v>0.88282128954713279</v>
          </cell>
          <cell r="AR66">
            <v>0.28957347402508293</v>
          </cell>
          <cell r="AS66">
            <v>0.45654706874631396</v>
          </cell>
          <cell r="AT66">
            <v>0.87802449835195895</v>
          </cell>
        </row>
        <row r="67">
          <cell r="AP67">
            <v>0.99738345915883098</v>
          </cell>
          <cell r="AQ67">
            <v>0.8928212895471328</v>
          </cell>
          <cell r="AR67">
            <v>0.28589127451411556</v>
          </cell>
          <cell r="AS67">
            <v>0.45560725807403274</v>
          </cell>
          <cell r="AT67">
            <v>0.87533513702361399</v>
          </cell>
        </row>
        <row r="68">
          <cell r="AP68">
            <v>0.99786836778325794</v>
          </cell>
          <cell r="AQ68">
            <v>0.90282128954713281</v>
          </cell>
          <cell r="AR68">
            <v>0.2822877807817849</v>
          </cell>
          <cell r="AS68">
            <v>0.45476054971264579</v>
          </cell>
          <cell r="AT68">
            <v>0.87263218651333452</v>
          </cell>
        </row>
        <row r="69">
          <cell r="AP69">
            <v>0.99829244295724051</v>
          </cell>
          <cell r="AQ69">
            <v>0.91282128954713282</v>
          </cell>
          <cell r="AR69">
            <v>0.27876045762741547</v>
          </cell>
          <cell r="AS69">
            <v>0.4540048218101988</v>
          </cell>
          <cell r="AT69">
            <v>0.86991605033762653</v>
          </cell>
        </row>
        <row r="70">
          <cell r="AP70">
            <v>0.99865906824359596</v>
          </cell>
          <cell r="AQ70">
            <v>0.92282128954713283</v>
          </cell>
          <cell r="AR70">
            <v>0.2753068796127392</v>
          </cell>
          <cell r="AS70">
            <v>0.45333805927161158</v>
          </cell>
          <cell r="AT70">
            <v>0.86718712973644541</v>
          </cell>
        </row>
        <row r="71">
          <cell r="AP71">
            <v>0.99897143092162011</v>
          </cell>
          <cell r="AQ71">
            <v>0.93282128954713284</v>
          </cell>
          <cell r="AR71">
            <v>0.27192472516657928</v>
          </cell>
          <cell r="AS71">
            <v>0.45275834818272354</v>
          </cell>
          <cell r="AT71">
            <v>0.86444582357169686</v>
          </cell>
        </row>
        <row r="72">
          <cell r="AP72">
            <v>0.99923253486779628</v>
          </cell>
          <cell r="AQ72">
            <v>0.94282128954713285</v>
          </cell>
          <cell r="AR72">
            <v>0.26861177106496292</v>
          </cell>
          <cell r="AS72">
            <v>0.45226387059077794</v>
          </cell>
          <cell r="AT72">
            <v>0.86169252822883879</v>
          </cell>
        </row>
        <row r="73">
          <cell r="AP73">
            <v>0.99944521247671991</v>
          </cell>
          <cell r="AQ73">
            <v>0.95282128954713285</v>
          </cell>
          <cell r="AR73">
            <v>0.2653658872590865</v>
          </cell>
          <cell r="AS73">
            <v>0.45185289961516534</v>
          </cell>
          <cell r="AT73">
            <v>0.85892763752158396</v>
          </cell>
        </row>
        <row r="74">
          <cell r="AP74">
            <v>0.99961213570254448</v>
          </cell>
          <cell r="AQ74">
            <v>0.96282128954713286</v>
          </cell>
          <cell r="AR74">
            <v>0.26218503202584259</v>
          </cell>
          <cell r="AS74">
            <v>0.45152379486440775</v>
          </cell>
          <cell r="AT74">
            <v>0.85615154259970538</v>
          </cell>
        </row>
        <row r="75">
          <cell r="AP75">
            <v>0.99973582629378799</v>
          </cell>
          <cell r="AQ75">
            <v>0.97282128954713287</v>
          </cell>
          <cell r="AR75">
            <v>0.25906724741770026</v>
          </cell>
          <cell r="AS75">
            <v>0.4512749981373535</v>
          </cell>
          <cell r="AT75">
            <v>0.85336463185993872</v>
          </cell>
        </row>
        <row r="76">
          <cell r="AP76">
            <v>0.99981866528766627</v>
          </cell>
          <cell r="AQ76">
            <v>0.98282128954713288</v>
          </cell>
          <cell r="AR76">
            <v>0.25601065499061959</v>
          </cell>
          <cell r="AS76">
            <v>0.45110502938833724</v>
          </cell>
          <cell r="AT76">
            <v>0.85056729085997718</v>
          </cell>
        </row>
        <row r="77">
          <cell r="AP77">
            <v>0.99986290182408755</v>
          </cell>
          <cell r="AQ77">
            <v>0.99282128954713289</v>
          </cell>
          <cell r="AR77">
            <v>0.25301345179039703</v>
          </cell>
          <cell r="AS77">
            <v>0.45101248293769691</v>
          </cell>
          <cell r="AT77">
            <v>0.84775990223554942</v>
          </cell>
        </row>
        <row r="78">
          <cell r="AP78">
            <v>0.99987204743756275</v>
          </cell>
          <cell r="AQ78">
            <v>1</v>
          </cell>
          <cell r="AR78">
            <v>0.25089749626675911</v>
          </cell>
          <cell r="AS78">
            <v>0.45099303711724403</v>
          </cell>
          <cell r="AT78">
            <v>0.84573857600502689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3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0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0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2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9.emf"/><Relationship Id="rId28" Type="http://schemas.openxmlformats.org/officeDocument/2006/relationships/oleObject" Target="../embeddings/oleObject15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1.bin"/><Relationship Id="rId27" Type="http://schemas.openxmlformats.org/officeDocument/2006/relationships/oleObject" Target="../embeddings/oleObject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138"/>
  <sheetViews>
    <sheetView workbookViewId="0">
      <selection activeCell="I4" sqref="I4"/>
    </sheetView>
  </sheetViews>
  <sheetFormatPr defaultRowHeight="15" x14ac:dyDescent="0.25"/>
  <cols>
    <col min="2" max="2" width="16.85546875" customWidth="1"/>
    <col min="3" max="3" width="11.42578125" customWidth="1"/>
    <col min="4" max="4" width="14.7109375" customWidth="1"/>
    <col min="10" max="10" width="9.140625" customWidth="1"/>
  </cols>
  <sheetData>
    <row r="2" spans="2:7" ht="15.75" thickBot="1" x14ac:dyDescent="0.3"/>
    <row r="3" spans="2:7" x14ac:dyDescent="0.25">
      <c r="B3" s="13" t="s">
        <v>84</v>
      </c>
      <c r="C3" s="23"/>
      <c r="D3" s="1"/>
      <c r="E3" s="1"/>
      <c r="F3" s="1"/>
      <c r="G3" s="2"/>
    </row>
    <row r="4" spans="2:7" x14ac:dyDescent="0.25">
      <c r="B4" s="3" t="s">
        <v>3</v>
      </c>
      <c r="C4" s="10">
        <v>53.353000000000002</v>
      </c>
      <c r="D4" t="s">
        <v>4</v>
      </c>
      <c r="E4" t="s">
        <v>56</v>
      </c>
      <c r="G4" s="4"/>
    </row>
    <row r="5" spans="2:7" x14ac:dyDescent="0.25">
      <c r="B5" s="24" t="s">
        <v>3</v>
      </c>
      <c r="C5" s="5">
        <f>Rg*2.20462*1.8/737.562</f>
        <v>0.2870559540052226</v>
      </c>
      <c r="D5" t="s">
        <v>57</v>
      </c>
      <c r="G5" s="4"/>
    </row>
    <row r="6" spans="2:7" x14ac:dyDescent="0.25">
      <c r="B6" s="3" t="s">
        <v>5</v>
      </c>
      <c r="C6">
        <v>1.4</v>
      </c>
      <c r="D6" s="12" t="s">
        <v>6</v>
      </c>
      <c r="E6" t="s">
        <v>7</v>
      </c>
      <c r="G6" s="4"/>
    </row>
    <row r="7" spans="2:7" x14ac:dyDescent="0.25">
      <c r="B7" s="3" t="s">
        <v>59</v>
      </c>
      <c r="C7">
        <v>32.173999999999999</v>
      </c>
      <c r="D7" t="s">
        <v>8</v>
      </c>
      <c r="E7" t="s">
        <v>63</v>
      </c>
      <c r="G7" s="4"/>
    </row>
    <row r="8" spans="2:7" x14ac:dyDescent="0.25">
      <c r="B8" s="24" t="s">
        <v>59</v>
      </c>
      <c r="C8">
        <v>1</v>
      </c>
      <c r="D8" t="s">
        <v>81</v>
      </c>
      <c r="G8" s="4"/>
    </row>
    <row r="9" spans="2:7" x14ac:dyDescent="0.25">
      <c r="B9" s="3" t="s">
        <v>30</v>
      </c>
      <c r="C9">
        <v>459.67</v>
      </c>
      <c r="D9" t="s">
        <v>27</v>
      </c>
      <c r="E9" t="s">
        <v>28</v>
      </c>
      <c r="G9" s="4"/>
    </row>
    <row r="10" spans="2:7" x14ac:dyDescent="0.25">
      <c r="B10" s="24" t="s">
        <v>30</v>
      </c>
      <c r="C10">
        <v>273.14999999999998</v>
      </c>
      <c r="D10" t="s">
        <v>82</v>
      </c>
      <c r="E10" t="s">
        <v>60</v>
      </c>
      <c r="G10" s="4"/>
    </row>
    <row r="11" spans="2:7" x14ac:dyDescent="0.25">
      <c r="B11" s="3" t="s">
        <v>61</v>
      </c>
      <c r="C11">
        <v>778.17</v>
      </c>
      <c r="D11" t="s">
        <v>31</v>
      </c>
      <c r="E11" t="s">
        <v>62</v>
      </c>
      <c r="G11" s="4"/>
    </row>
    <row r="12" spans="2:7" x14ac:dyDescent="0.25">
      <c r="B12" s="3" t="s">
        <v>72</v>
      </c>
      <c r="C12">
        <v>0.245</v>
      </c>
      <c r="D12" t="s">
        <v>73</v>
      </c>
      <c r="E12" t="s">
        <v>74</v>
      </c>
      <c r="G12" s="4"/>
    </row>
    <row r="13" spans="2:7" x14ac:dyDescent="0.25">
      <c r="B13" s="24" t="s">
        <v>72</v>
      </c>
      <c r="C13" s="10">
        <f>cp*4.18396</f>
        <v>1.0250702</v>
      </c>
      <c r="D13" t="s">
        <v>57</v>
      </c>
      <c r="G13" s="4"/>
    </row>
    <row r="14" spans="2:7" x14ac:dyDescent="0.25">
      <c r="B14" s="3"/>
      <c r="G14" s="4"/>
    </row>
    <row r="15" spans="2:7" x14ac:dyDescent="0.25">
      <c r="B15" s="22" t="s">
        <v>83</v>
      </c>
      <c r="C15" s="20"/>
      <c r="G15" s="4"/>
    </row>
    <row r="16" spans="2:7" x14ac:dyDescent="0.25">
      <c r="B16" s="3" t="s">
        <v>33</v>
      </c>
      <c r="C16">
        <v>100</v>
      </c>
      <c r="D16" t="s">
        <v>15</v>
      </c>
      <c r="E16" t="s">
        <v>34</v>
      </c>
      <c r="G16" s="4"/>
    </row>
    <row r="17" spans="2:7" x14ac:dyDescent="0.25">
      <c r="B17" s="24" t="s">
        <v>33</v>
      </c>
      <c r="C17" s="11">
        <f>L/3.28084</f>
        <v>30.47999902464003</v>
      </c>
      <c r="D17" t="s">
        <v>58</v>
      </c>
      <c r="G17" s="4"/>
    </row>
    <row r="18" spans="2:7" x14ac:dyDescent="0.25">
      <c r="B18" s="3" t="s">
        <v>12</v>
      </c>
      <c r="C18">
        <v>3</v>
      </c>
      <c r="D18" t="s">
        <v>13</v>
      </c>
      <c r="E18" t="s">
        <v>14</v>
      </c>
      <c r="G18" s="4"/>
    </row>
    <row r="19" spans="2:7" x14ac:dyDescent="0.25">
      <c r="B19" s="24" t="s">
        <v>12</v>
      </c>
      <c r="C19">
        <f>C18*2.54</f>
        <v>7.62</v>
      </c>
      <c r="D19" t="s">
        <v>64</v>
      </c>
      <c r="G19" s="4"/>
    </row>
    <row r="20" spans="2:7" x14ac:dyDescent="0.25">
      <c r="B20" s="3" t="s">
        <v>12</v>
      </c>
      <c r="C20" s="10">
        <f>C18/12</f>
        <v>0.25</v>
      </c>
      <c r="D20" t="s">
        <v>15</v>
      </c>
      <c r="E20" t="s">
        <v>14</v>
      </c>
      <c r="G20" s="4"/>
    </row>
    <row r="21" spans="2:7" x14ac:dyDescent="0.25">
      <c r="B21" s="24" t="s">
        <v>12</v>
      </c>
      <c r="C21" s="9">
        <f>D/3.28</f>
        <v>7.621951219512195E-2</v>
      </c>
      <c r="D21" t="s">
        <v>58</v>
      </c>
      <c r="G21" s="4"/>
    </row>
    <row r="22" spans="2:7" x14ac:dyDescent="0.25">
      <c r="B22" s="3" t="s">
        <v>16</v>
      </c>
      <c r="C22" s="10">
        <f>PI()/4*C18^2</f>
        <v>7.0685834705770345</v>
      </c>
      <c r="D22" t="s">
        <v>18</v>
      </c>
      <c r="E22" t="s">
        <v>17</v>
      </c>
      <c r="G22" s="4"/>
    </row>
    <row r="23" spans="2:7" x14ac:dyDescent="0.25">
      <c r="B23" s="24" t="s">
        <v>16</v>
      </c>
      <c r="C23" s="10">
        <f>PI()/4*C19^2</f>
        <v>45.603673118774793</v>
      </c>
      <c r="D23" t="s">
        <v>65</v>
      </c>
      <c r="G23" s="4"/>
    </row>
    <row r="24" spans="2:7" x14ac:dyDescent="0.25">
      <c r="B24" s="3" t="s">
        <v>16</v>
      </c>
      <c r="C24" s="9">
        <f>C22/144</f>
        <v>4.9087385212340517E-2</v>
      </c>
      <c r="D24" t="s">
        <v>19</v>
      </c>
      <c r="E24" t="s">
        <v>17</v>
      </c>
      <c r="G24" s="4"/>
    </row>
    <row r="25" spans="2:7" x14ac:dyDescent="0.25">
      <c r="B25" s="24" t="s">
        <v>16</v>
      </c>
      <c r="C25" s="5">
        <f>PI()/4*C21^2</f>
        <v>4.5627031168519964E-3</v>
      </c>
      <c r="D25" t="s">
        <v>66</v>
      </c>
      <c r="G25" s="4"/>
    </row>
    <row r="26" spans="2:7" ht="15.75" thickBot="1" x14ac:dyDescent="0.3">
      <c r="B26" s="6" t="s">
        <v>35</v>
      </c>
      <c r="C26" s="7">
        <v>1.7000000000000001E-2</v>
      </c>
      <c r="D26" s="16" t="s">
        <v>6</v>
      </c>
      <c r="E26" s="7" t="s">
        <v>90</v>
      </c>
      <c r="F26" s="7"/>
      <c r="G26" s="8"/>
    </row>
    <row r="36" spans="2:16" ht="15.75" thickBot="1" x14ac:dyDescent="0.3"/>
    <row r="37" spans="2:16" x14ac:dyDescent="0.25">
      <c r="B37" s="13" t="s">
        <v>0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2"/>
    </row>
    <row r="38" spans="2:16" x14ac:dyDescent="0.25">
      <c r="B38" s="3" t="s">
        <v>38</v>
      </c>
      <c r="C38" s="15">
        <v>400</v>
      </c>
      <c r="D38" t="s">
        <v>1</v>
      </c>
      <c r="P38" s="4"/>
    </row>
    <row r="39" spans="2:16" x14ac:dyDescent="0.25">
      <c r="B39" s="24" t="s">
        <v>38</v>
      </c>
      <c r="C39" s="21">
        <f>Po_1*6.89476</f>
        <v>2757.904</v>
      </c>
      <c r="D39" t="s">
        <v>69</v>
      </c>
      <c r="P39" s="4"/>
    </row>
    <row r="40" spans="2:16" x14ac:dyDescent="0.25">
      <c r="B40" s="3" t="s">
        <v>39</v>
      </c>
      <c r="C40" s="15">
        <v>200</v>
      </c>
      <c r="D40" t="s">
        <v>2</v>
      </c>
      <c r="P40" s="4"/>
    </row>
    <row r="41" spans="2:16" x14ac:dyDescent="0.25">
      <c r="B41" s="24" t="s">
        <v>39</v>
      </c>
      <c r="C41" s="21">
        <f>(C40+459.67)/1.8-273.15</f>
        <v>93.333333333333371</v>
      </c>
      <c r="D41" t="s">
        <v>85</v>
      </c>
      <c r="P41" s="4"/>
    </row>
    <row r="42" spans="2:16" x14ac:dyDescent="0.25">
      <c r="B42" s="3" t="s">
        <v>39</v>
      </c>
      <c r="C42">
        <f>C40+C9</f>
        <v>659.67000000000007</v>
      </c>
      <c r="D42" t="s">
        <v>21</v>
      </c>
      <c r="E42" t="s">
        <v>22</v>
      </c>
      <c r="P42" s="4"/>
    </row>
    <row r="43" spans="2:16" x14ac:dyDescent="0.25">
      <c r="B43" s="3" t="s">
        <v>23</v>
      </c>
      <c r="C43" s="15">
        <v>1</v>
      </c>
      <c r="D43" t="s">
        <v>79</v>
      </c>
      <c r="P43" s="4"/>
    </row>
    <row r="44" spans="2:16" x14ac:dyDescent="0.25">
      <c r="B44" s="3"/>
      <c r="P44" s="4"/>
    </row>
    <row r="45" spans="2:16" x14ac:dyDescent="0.25">
      <c r="B45" s="22" t="s">
        <v>91</v>
      </c>
      <c r="P45" s="4"/>
    </row>
    <row r="46" spans="2:16" x14ac:dyDescent="0.25">
      <c r="B46" s="3" t="s">
        <v>37</v>
      </c>
      <c r="C46">
        <v>1</v>
      </c>
      <c r="P46" s="4"/>
    </row>
    <row r="47" spans="2:16" x14ac:dyDescent="0.25">
      <c r="B47" s="3" t="s">
        <v>36</v>
      </c>
      <c r="C47" s="18">
        <f>f*L/D</f>
        <v>6.8000000000000007</v>
      </c>
      <c r="D47" t="s">
        <v>92</v>
      </c>
      <c r="P47" s="4"/>
    </row>
    <row r="48" spans="2:16" x14ac:dyDescent="0.25">
      <c r="B48" s="3" t="s">
        <v>40</v>
      </c>
      <c r="C48" s="14">
        <v>0.27282128954713225</v>
      </c>
      <c r="D48" s="15" t="s">
        <v>75</v>
      </c>
      <c r="E48" s="15"/>
      <c r="P48" s="4"/>
    </row>
    <row r="49" spans="2:16" x14ac:dyDescent="0.25">
      <c r="B49" s="3"/>
      <c r="P49" s="4"/>
    </row>
    <row r="50" spans="2:16" x14ac:dyDescent="0.25">
      <c r="B50" s="3" t="s">
        <v>36</v>
      </c>
      <c r="C50" s="18">
        <f>1/Gam*(1/M_1^2-1/M_2^2)+(Gam+1)/2/Gam*LN((M_1^2/M_2^2)*(1+M_2^2*(Gam-1)/2)/(1+M_1^2*(Gam-1)/2))</f>
        <v>6.7991299225754274</v>
      </c>
      <c r="P50" s="4"/>
    </row>
    <row r="51" spans="2:16" x14ac:dyDescent="0.25">
      <c r="B51" s="26" t="s">
        <v>80</v>
      </c>
      <c r="C51" s="10">
        <f>C47-C50</f>
        <v>8.7007742457334558E-4</v>
      </c>
      <c r="D51" s="25" t="s">
        <v>76</v>
      </c>
      <c r="P51" s="4"/>
    </row>
    <row r="52" spans="2:16" x14ac:dyDescent="0.25">
      <c r="B52" s="3"/>
      <c r="C52" s="10"/>
      <c r="P52" s="4"/>
    </row>
    <row r="53" spans="2:16" x14ac:dyDescent="0.25">
      <c r="B53" s="3"/>
      <c r="P53" s="4"/>
    </row>
    <row r="54" spans="2:16" x14ac:dyDescent="0.25">
      <c r="B54" s="3"/>
      <c r="P54" s="4"/>
    </row>
    <row r="55" spans="2:16" x14ac:dyDescent="0.25">
      <c r="B55" s="3"/>
      <c r="P55" s="4"/>
    </row>
    <row r="56" spans="2:16" x14ac:dyDescent="0.25">
      <c r="B56" s="3"/>
      <c r="P56" s="4"/>
    </row>
    <row r="57" spans="2:16" x14ac:dyDescent="0.25">
      <c r="B57" s="3"/>
      <c r="P57" s="4"/>
    </row>
    <row r="58" spans="2:16" x14ac:dyDescent="0.25">
      <c r="B58" s="3"/>
      <c r="P58" s="4"/>
    </row>
    <row r="59" spans="2:16" x14ac:dyDescent="0.25">
      <c r="B59" s="3"/>
      <c r="P59" s="4"/>
    </row>
    <row r="60" spans="2:16" x14ac:dyDescent="0.25">
      <c r="B60" s="3"/>
      <c r="P60" s="4"/>
    </row>
    <row r="61" spans="2:16" x14ac:dyDescent="0.25">
      <c r="B61" s="3"/>
      <c r="P61" s="4"/>
    </row>
    <row r="62" spans="2:16" x14ac:dyDescent="0.25">
      <c r="B62" s="3"/>
      <c r="P62" s="4"/>
    </row>
    <row r="63" spans="2:16" x14ac:dyDescent="0.25">
      <c r="B63" s="3"/>
      <c r="P63" s="4"/>
    </row>
    <row r="64" spans="2:16" x14ac:dyDescent="0.25">
      <c r="B64" s="3" t="s">
        <v>20</v>
      </c>
      <c r="C64" s="5">
        <f>(Gam/Z/Rg)^0.5*M_1*(1+M_1^2*(Gam-1)/2)^(-(Gam+1)/2/(Gam-1))</f>
        <v>4.2277635905852179E-2</v>
      </c>
      <c r="D64" s="25" t="s">
        <v>95</v>
      </c>
      <c r="P64" s="4"/>
    </row>
    <row r="65" spans="2:16" x14ac:dyDescent="0.25">
      <c r="B65" s="3"/>
      <c r="P65" s="4"/>
    </row>
    <row r="66" spans="2:16" x14ac:dyDescent="0.25">
      <c r="B66" s="27" t="s">
        <v>9</v>
      </c>
      <c r="C66" s="11">
        <f>(Po_1/To_1^0.5)*gc^0.5*144*A*C64</f>
        <v>26.399289474278024</v>
      </c>
      <c r="D66" t="s">
        <v>11</v>
      </c>
      <c r="E66" t="s">
        <v>10</v>
      </c>
      <c r="I66" s="11"/>
      <c r="P66" s="4"/>
    </row>
    <row r="67" spans="2:16" x14ac:dyDescent="0.25">
      <c r="B67" s="24" t="s">
        <v>9</v>
      </c>
      <c r="C67" s="11">
        <f>mdot*0.45359</f>
        <v>11.97445371263777</v>
      </c>
      <c r="D67" t="s">
        <v>71</v>
      </c>
      <c r="I67" s="11"/>
      <c r="P67" s="4"/>
    </row>
    <row r="68" spans="2:16" x14ac:dyDescent="0.25">
      <c r="B68" s="26"/>
      <c r="C68" s="5"/>
      <c r="D68" s="25"/>
      <c r="P68" s="4"/>
    </row>
    <row r="69" spans="2:16" x14ac:dyDescent="0.25">
      <c r="B69" s="26"/>
      <c r="C69" s="5"/>
      <c r="D69" s="25"/>
      <c r="P69" s="4"/>
    </row>
    <row r="70" spans="2:16" x14ac:dyDescent="0.25">
      <c r="B70" s="3"/>
      <c r="P70" s="4"/>
    </row>
    <row r="71" spans="2:16" x14ac:dyDescent="0.25">
      <c r="B71" s="3" t="s">
        <v>41</v>
      </c>
      <c r="C71" s="10">
        <f>Po_1/(1+M_1^2*(Gam-1)/2)^(Gam/(Gam-1))</f>
        <v>379.83863759721538</v>
      </c>
      <c r="D71" t="s">
        <v>1</v>
      </c>
      <c r="P71" s="4"/>
    </row>
    <row r="72" spans="2:16" x14ac:dyDescent="0.25">
      <c r="B72" s="24" t="str">
        <f>B71</f>
        <v>P1</v>
      </c>
      <c r="C72" s="21">
        <f>P_1*6.89476</f>
        <v>2618.8962449597766</v>
      </c>
      <c r="D72" t="s">
        <v>69</v>
      </c>
      <c r="P72" s="4"/>
    </row>
    <row r="73" spans="2:16" x14ac:dyDescent="0.25">
      <c r="B73" s="3" t="s">
        <v>42</v>
      </c>
      <c r="C73" s="10">
        <f>To_1/(1+M_1^2*(Gam-1)/2)</f>
        <v>649.99400003333028</v>
      </c>
      <c r="D73" t="s">
        <v>21</v>
      </c>
      <c r="P73" s="4"/>
    </row>
    <row r="74" spans="2:16" x14ac:dyDescent="0.25">
      <c r="B74" s="3" t="s">
        <v>42</v>
      </c>
      <c r="C74" s="10">
        <f>C73-C9</f>
        <v>190.32400003333026</v>
      </c>
      <c r="D74" t="s">
        <v>2</v>
      </c>
      <c r="P74" s="4"/>
    </row>
    <row r="75" spans="2:16" x14ac:dyDescent="0.25">
      <c r="B75" s="24" t="str">
        <f>B74</f>
        <v>T1</v>
      </c>
      <c r="C75" s="21">
        <f>(C74+459.67)/1.8-273.15</f>
        <v>87.957777796294636</v>
      </c>
      <c r="D75" t="s">
        <v>85</v>
      </c>
      <c r="P75" s="4"/>
    </row>
    <row r="76" spans="2:16" x14ac:dyDescent="0.25">
      <c r="B76" s="3" t="s">
        <v>43</v>
      </c>
      <c r="C76" s="10">
        <f>P_1*144/Z/Rg/T_1</f>
        <v>1.5772242267123409</v>
      </c>
      <c r="D76" t="s">
        <v>26</v>
      </c>
      <c r="P76" s="4"/>
    </row>
    <row r="77" spans="2:16" x14ac:dyDescent="0.25">
      <c r="B77" s="24" t="str">
        <f>B76</f>
        <v>rho1</v>
      </c>
      <c r="C77" s="21">
        <f>rho_1*16.01846</f>
        <v>25.264703186622565</v>
      </c>
      <c r="D77" t="s">
        <v>86</v>
      </c>
      <c r="P77" s="4"/>
    </row>
    <row r="78" spans="2:16" x14ac:dyDescent="0.25">
      <c r="B78" s="3" t="s">
        <v>44</v>
      </c>
      <c r="C78" s="11">
        <f>mdot/rho_1/A</f>
        <v>340.97999502962898</v>
      </c>
      <c r="D78" t="s">
        <v>25</v>
      </c>
      <c r="P78" s="4"/>
    </row>
    <row r="79" spans="2:16" x14ac:dyDescent="0.25">
      <c r="B79" s="24" t="str">
        <f>B78</f>
        <v>V1</v>
      </c>
      <c r="C79" s="21">
        <f>V_1/3.28</f>
        <v>103.95731555781371</v>
      </c>
      <c r="D79" t="s">
        <v>87</v>
      </c>
      <c r="P79" s="4"/>
    </row>
    <row r="80" spans="2:16" x14ac:dyDescent="0.25">
      <c r="B80" s="3" t="s">
        <v>77</v>
      </c>
      <c r="C80" s="11">
        <f>V_1/M_1</f>
        <v>1249.8291302545938</v>
      </c>
      <c r="D80" t="s">
        <v>32</v>
      </c>
      <c r="P80" s="4"/>
    </row>
    <row r="81" spans="2:16" x14ac:dyDescent="0.25">
      <c r="B81" s="24" t="str">
        <f>B80</f>
        <v>c1</v>
      </c>
      <c r="C81" s="21">
        <f>c_1/3.28</f>
        <v>381.04546654103473</v>
      </c>
      <c r="D81" t="s">
        <v>88</v>
      </c>
      <c r="P81" s="4"/>
    </row>
    <row r="82" spans="2:16" x14ac:dyDescent="0.25">
      <c r="B82" s="3"/>
      <c r="P82" s="4"/>
    </row>
    <row r="83" spans="2:16" x14ac:dyDescent="0.25">
      <c r="B83" s="3"/>
      <c r="P83" s="4"/>
    </row>
    <row r="84" spans="2:16" x14ac:dyDescent="0.25">
      <c r="B84" s="3"/>
      <c r="P84" s="4"/>
    </row>
    <row r="85" spans="2:16" x14ac:dyDescent="0.25">
      <c r="B85" s="3"/>
      <c r="P85" s="4"/>
    </row>
    <row r="86" spans="2:16" x14ac:dyDescent="0.25">
      <c r="B86" s="3"/>
      <c r="P86" s="4"/>
    </row>
    <row r="87" spans="2:16" x14ac:dyDescent="0.25">
      <c r="B87" s="3"/>
      <c r="P87" s="4"/>
    </row>
    <row r="88" spans="2:16" x14ac:dyDescent="0.25">
      <c r="B88" s="3" t="s">
        <v>45</v>
      </c>
      <c r="C88" s="10">
        <f>cp*(T_1)</f>
        <v>159.24853000816591</v>
      </c>
      <c r="D88" t="s">
        <v>29</v>
      </c>
      <c r="E88" s="12" t="s">
        <v>89</v>
      </c>
      <c r="P88" s="4"/>
    </row>
    <row r="89" spans="2:16" x14ac:dyDescent="0.25">
      <c r="B89" s="24" t="str">
        <f>B88</f>
        <v>h1</v>
      </c>
      <c r="C89" s="21">
        <f>h_1*2.32442</f>
        <v>370.160468121581</v>
      </c>
      <c r="D89" t="s">
        <v>70</v>
      </c>
      <c r="E89" s="12"/>
      <c r="P89" s="4"/>
    </row>
    <row r="90" spans="2:16" x14ac:dyDescent="0.25">
      <c r="B90" s="3" t="s">
        <v>46</v>
      </c>
      <c r="C90" s="10">
        <f>h_1+0.5*V_1^2/C11/gc</f>
        <v>161.57045541235274</v>
      </c>
      <c r="D90" t="s">
        <v>29</v>
      </c>
      <c r="P90" s="4"/>
    </row>
    <row r="91" spans="2:16" x14ac:dyDescent="0.25">
      <c r="B91" s="24" t="str">
        <f>B90</f>
        <v>ho1</v>
      </c>
      <c r="C91" s="21">
        <f>ho_1*2.32442</f>
        <v>375.55759796958097</v>
      </c>
      <c r="D91" t="s">
        <v>70</v>
      </c>
      <c r="P91" s="4"/>
    </row>
    <row r="92" spans="2:16" x14ac:dyDescent="0.25">
      <c r="B92" s="3"/>
      <c r="P92" s="4"/>
    </row>
    <row r="93" spans="2:16" ht="15.75" thickBot="1" x14ac:dyDescent="0.3">
      <c r="B93" s="6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8"/>
    </row>
    <row r="95" spans="2:16" ht="15.75" thickBot="1" x14ac:dyDescent="0.3"/>
    <row r="96" spans="2:16" x14ac:dyDescent="0.25">
      <c r="B96" s="13" t="s">
        <v>24</v>
      </c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2"/>
    </row>
    <row r="97" spans="2:16" x14ac:dyDescent="0.25">
      <c r="B97" s="3"/>
      <c r="P97" s="4"/>
    </row>
    <row r="98" spans="2:16" x14ac:dyDescent="0.25">
      <c r="B98" s="3"/>
      <c r="P98" s="4"/>
    </row>
    <row r="99" spans="2:16" x14ac:dyDescent="0.25">
      <c r="B99" s="3"/>
      <c r="P99" s="4"/>
    </row>
    <row r="100" spans="2:16" x14ac:dyDescent="0.25">
      <c r="B100" s="3" t="s">
        <v>93</v>
      </c>
      <c r="P100" s="4"/>
    </row>
    <row r="101" spans="2:16" x14ac:dyDescent="0.25">
      <c r="B101" s="3" t="s">
        <v>47</v>
      </c>
      <c r="C101" s="10">
        <f>ho_1</f>
        <v>161.57045541235274</v>
      </c>
      <c r="D101" t="s">
        <v>29</v>
      </c>
      <c r="P101" s="4"/>
    </row>
    <row r="102" spans="2:16" x14ac:dyDescent="0.25">
      <c r="B102" s="24" t="str">
        <f>B101</f>
        <v>ho2</v>
      </c>
      <c r="C102" s="21">
        <f>ho_2*2.32442</f>
        <v>375.55759796958097</v>
      </c>
      <c r="D102" t="s">
        <v>70</v>
      </c>
      <c r="P102" s="4"/>
    </row>
    <row r="103" spans="2:16" x14ac:dyDescent="0.25">
      <c r="B103" s="3"/>
      <c r="P103" s="4"/>
    </row>
    <row r="104" spans="2:16" x14ac:dyDescent="0.25">
      <c r="B104" s="3"/>
      <c r="P104" s="4"/>
    </row>
    <row r="105" spans="2:16" x14ac:dyDescent="0.25">
      <c r="B105" s="3" t="s">
        <v>94</v>
      </c>
      <c r="P105" s="4"/>
    </row>
    <row r="106" spans="2:16" x14ac:dyDescent="0.25">
      <c r="B106" s="3" t="s">
        <v>48</v>
      </c>
      <c r="P106" s="4"/>
    </row>
    <row r="107" spans="2:16" x14ac:dyDescent="0.25">
      <c r="B107" s="3"/>
      <c r="P107" s="4"/>
    </row>
    <row r="108" spans="2:16" x14ac:dyDescent="0.25">
      <c r="B108" s="3" t="s">
        <v>49</v>
      </c>
      <c r="C108" s="11">
        <f>P_1*M_1/M_2*((2+M_1^2*(Gam-1))/(2+M_2^2*(Gam-1)))^0.5</f>
        <v>95.300563158518216</v>
      </c>
      <c r="D108" t="s">
        <v>1</v>
      </c>
      <c r="P108" s="4"/>
    </row>
    <row r="109" spans="2:16" x14ac:dyDescent="0.25">
      <c r="B109" s="24" t="str">
        <f>B108</f>
        <v>P2</v>
      </c>
      <c r="C109" s="21">
        <f>P_2*6.89476</f>
        <v>657.07451084282502</v>
      </c>
      <c r="D109" t="s">
        <v>69</v>
      </c>
      <c r="P109" s="4"/>
    </row>
    <row r="110" spans="2:16" x14ac:dyDescent="0.25">
      <c r="B110" s="3" t="s">
        <v>50</v>
      </c>
      <c r="C110" s="11">
        <f>T_1*((2+M_1^2*(Gam-1))/(2+M_2^2*(Gam-1)))</f>
        <v>549.72500000000002</v>
      </c>
      <c r="D110" t="s">
        <v>21</v>
      </c>
      <c r="P110" s="4"/>
    </row>
    <row r="111" spans="2:16" x14ac:dyDescent="0.25">
      <c r="B111" s="3" t="s">
        <v>50</v>
      </c>
      <c r="C111" s="11">
        <f>C110-C9</f>
        <v>90.055000000000007</v>
      </c>
      <c r="D111" t="s">
        <v>2</v>
      </c>
      <c r="P111" s="4"/>
    </row>
    <row r="112" spans="2:16" x14ac:dyDescent="0.25">
      <c r="B112" s="24" t="str">
        <f>B111</f>
        <v>T2</v>
      </c>
      <c r="C112" s="21">
        <f>(C111+459.67)/1.8-273.15</f>
        <v>32.252777777777794</v>
      </c>
      <c r="D112" t="s">
        <v>85</v>
      </c>
      <c r="P112" s="4"/>
    </row>
    <row r="113" spans="2:16" x14ac:dyDescent="0.25">
      <c r="B113" s="3" t="s">
        <v>51</v>
      </c>
      <c r="C113" s="11">
        <f>P_2*((1+M_2^2*(Gam-1)/2))^(Gam/(Gam-1))</f>
        <v>180.39721484689761</v>
      </c>
      <c r="D113" t="s">
        <v>1</v>
      </c>
      <c r="P113" s="4"/>
    </row>
    <row r="114" spans="2:16" x14ac:dyDescent="0.25">
      <c r="B114" s="24" t="str">
        <f>B113</f>
        <v>Po2</v>
      </c>
      <c r="C114" s="21">
        <f>Po_2*6.89476</f>
        <v>1243.7955010377957</v>
      </c>
      <c r="D114" t="s">
        <v>69</v>
      </c>
      <c r="P114" s="4"/>
    </row>
    <row r="115" spans="2:16" x14ac:dyDescent="0.25">
      <c r="B115" s="3" t="s">
        <v>52</v>
      </c>
      <c r="C115" s="11">
        <f>T_2*((1+M_2^2*(Gam-1)/2))</f>
        <v>659.67</v>
      </c>
      <c r="D115" t="s">
        <v>21</v>
      </c>
      <c r="P115" s="4"/>
    </row>
    <row r="116" spans="2:16" x14ac:dyDescent="0.25">
      <c r="B116" s="3" t="s">
        <v>52</v>
      </c>
      <c r="C116" s="11">
        <f>C115-C9</f>
        <v>199.99999999999994</v>
      </c>
      <c r="D116" t="s">
        <v>2</v>
      </c>
      <c r="J116" s="19"/>
      <c r="P116" s="4"/>
    </row>
    <row r="117" spans="2:16" x14ac:dyDescent="0.25">
      <c r="B117" s="24" t="str">
        <f>B116</f>
        <v>To2</v>
      </c>
      <c r="C117" s="21">
        <f>(C116+459.67)/1.8-273.15</f>
        <v>93.333333333333314</v>
      </c>
      <c r="D117" t="s">
        <v>85</v>
      </c>
      <c r="P117" s="4"/>
    </row>
    <row r="118" spans="2:16" x14ac:dyDescent="0.25">
      <c r="B118" s="3"/>
      <c r="P118" s="4"/>
    </row>
    <row r="119" spans="2:16" x14ac:dyDescent="0.25">
      <c r="B119" s="3" t="s">
        <v>53</v>
      </c>
      <c r="C119" s="9">
        <f>P_2*144/Z/Rg/T_2</f>
        <v>0.4679006264591265</v>
      </c>
      <c r="D119" t="s">
        <v>26</v>
      </c>
      <c r="P119" s="4"/>
    </row>
    <row r="120" spans="2:16" x14ac:dyDescent="0.25">
      <c r="B120" s="24" t="str">
        <f>B119</f>
        <v>rho2</v>
      </c>
      <c r="C120" s="21">
        <f>rho_2*16.01846</f>
        <v>7.4950474689104603</v>
      </c>
      <c r="D120" t="s">
        <v>86</v>
      </c>
      <c r="P120" s="4"/>
    </row>
    <row r="121" spans="2:16" x14ac:dyDescent="0.25">
      <c r="B121" s="3" t="s">
        <v>54</v>
      </c>
      <c r="C121" s="11">
        <f>mdot/rho_2/A</f>
        <v>1149.3934364970639</v>
      </c>
      <c r="D121" t="s">
        <v>25</v>
      </c>
      <c r="P121" s="4"/>
    </row>
    <row r="122" spans="2:16" x14ac:dyDescent="0.25">
      <c r="B122" s="24" t="str">
        <f>B121</f>
        <v>V2</v>
      </c>
      <c r="C122" s="21">
        <f>V_2/3.28</f>
        <v>350.42482820032438</v>
      </c>
      <c r="D122" t="s">
        <v>87</v>
      </c>
      <c r="P122" s="4"/>
    </row>
    <row r="123" spans="2:16" x14ac:dyDescent="0.25">
      <c r="B123" s="3"/>
      <c r="P123" s="4"/>
    </row>
    <row r="124" spans="2:16" x14ac:dyDescent="0.25">
      <c r="B124" s="3" t="s">
        <v>55</v>
      </c>
      <c r="C124" s="17">
        <f>ho_2-0.5*V_2^2/C11/gc</f>
        <v>135.18722996354336</v>
      </c>
      <c r="D124" t="s">
        <v>29</v>
      </c>
      <c r="P124" s="4"/>
    </row>
    <row r="125" spans="2:16" x14ac:dyDescent="0.25">
      <c r="B125" s="24" t="str">
        <f>B124</f>
        <v>h2</v>
      </c>
      <c r="C125" s="21">
        <f>h_2*2.32442</f>
        <v>314.23190107185945</v>
      </c>
      <c r="D125" t="s">
        <v>70</v>
      </c>
      <c r="P125" s="4"/>
    </row>
    <row r="126" spans="2:16" x14ac:dyDescent="0.25">
      <c r="B126" s="3" t="s">
        <v>78</v>
      </c>
      <c r="C126" s="11">
        <f>V_2/M_2</f>
        <v>1149.3934364970639</v>
      </c>
      <c r="D126" t="s">
        <v>25</v>
      </c>
      <c r="P126" s="4"/>
    </row>
    <row r="127" spans="2:16" x14ac:dyDescent="0.25">
      <c r="B127" s="24" t="str">
        <f>B126</f>
        <v>c2</v>
      </c>
      <c r="C127" s="21">
        <f>c_2/3.28</f>
        <v>350.42482820032438</v>
      </c>
      <c r="D127" t="s">
        <v>88</v>
      </c>
      <c r="P127" s="4"/>
    </row>
    <row r="128" spans="2:16" x14ac:dyDescent="0.25">
      <c r="B128" s="3"/>
      <c r="P128" s="4"/>
    </row>
    <row r="129" spans="2:16" x14ac:dyDescent="0.25">
      <c r="B129" s="3"/>
      <c r="P129" s="4"/>
    </row>
    <row r="130" spans="2:16" x14ac:dyDescent="0.25">
      <c r="B130" s="3"/>
      <c r="P130" s="4"/>
    </row>
    <row r="131" spans="2:16" x14ac:dyDescent="0.25">
      <c r="B131" s="3"/>
      <c r="P131" s="4"/>
    </row>
    <row r="132" spans="2:16" x14ac:dyDescent="0.25">
      <c r="B132" s="3"/>
      <c r="P132" s="4"/>
    </row>
    <row r="133" spans="2:16" x14ac:dyDescent="0.25">
      <c r="B133" s="3"/>
      <c r="P133" s="4"/>
    </row>
    <row r="134" spans="2:16" x14ac:dyDescent="0.25">
      <c r="B134" s="3"/>
      <c r="P134" s="4"/>
    </row>
    <row r="135" spans="2:16" x14ac:dyDescent="0.25">
      <c r="B135" s="3"/>
      <c r="P135" s="4"/>
    </row>
    <row r="136" spans="2:16" x14ac:dyDescent="0.25">
      <c r="B136" s="3"/>
      <c r="P136" s="4"/>
    </row>
    <row r="137" spans="2:16" x14ac:dyDescent="0.25">
      <c r="B137" s="3"/>
      <c r="P137" s="4"/>
    </row>
    <row r="138" spans="2:16" ht="15.75" thickBot="1" x14ac:dyDescent="0.3">
      <c r="B138" s="6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8"/>
    </row>
  </sheetData>
  <phoneticPr fontId="3" type="noConversion"/>
  <pageMargins left="0.7" right="0.7" top="0.75" bottom="0.75" header="0.3" footer="0.3"/>
  <pageSetup orientation="portrait" horizontalDpi="4294967292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032" r:id="rId4">
          <objectPr defaultSize="0" r:id="rId5">
            <anchor moveWithCells="1" sizeWithCells="1">
              <from>
                <xdr:col>5</xdr:col>
                <xdr:colOff>533400</xdr:colOff>
                <xdr:row>64</xdr:row>
                <xdr:rowOff>95250</xdr:rowOff>
              </from>
              <to>
                <xdr:col>8</xdr:col>
                <xdr:colOff>495300</xdr:colOff>
                <xdr:row>68</xdr:row>
                <xdr:rowOff>19050</xdr:rowOff>
              </to>
            </anchor>
          </objectPr>
        </oleObject>
      </mc:Choice>
      <mc:Fallback>
        <oleObject progId="Equation.3" shapeId="1032" r:id="rId4"/>
      </mc:Fallback>
    </mc:AlternateContent>
    <mc:AlternateContent xmlns:mc="http://schemas.openxmlformats.org/markup-compatibility/2006">
      <mc:Choice Requires="x14">
        <oleObject progId="Equation.3" shapeId="1033" r:id="rId6">
          <objectPr defaultSize="0" r:id="rId7">
            <anchor moveWithCells="1" sizeWithCells="1">
              <from>
                <xdr:col>4</xdr:col>
                <xdr:colOff>447675</xdr:colOff>
                <xdr:row>60</xdr:row>
                <xdr:rowOff>57150</xdr:rowOff>
              </from>
              <to>
                <xdr:col>11</xdr:col>
                <xdr:colOff>600075</xdr:colOff>
                <xdr:row>64</xdr:row>
                <xdr:rowOff>38100</xdr:rowOff>
              </to>
            </anchor>
          </objectPr>
        </oleObject>
      </mc:Choice>
      <mc:Fallback>
        <oleObject progId="Equation.3" shapeId="1033" r:id="rId6"/>
      </mc:Fallback>
    </mc:AlternateContent>
    <mc:AlternateContent xmlns:mc="http://schemas.openxmlformats.org/markup-compatibility/2006">
      <mc:Choice Requires="x14">
        <oleObject progId="Equation.3" shapeId="1035" r:id="rId8">
          <objectPr defaultSize="0" r:id="rId9">
            <anchor moveWithCells="1" sizeWithCells="1">
              <from>
                <xdr:col>5</xdr:col>
                <xdr:colOff>257175</xdr:colOff>
                <xdr:row>88</xdr:row>
                <xdr:rowOff>114300</xdr:rowOff>
              </from>
              <to>
                <xdr:col>7</xdr:col>
                <xdr:colOff>285750</xdr:colOff>
                <xdr:row>92</xdr:row>
                <xdr:rowOff>66675</xdr:rowOff>
              </to>
            </anchor>
          </objectPr>
        </oleObject>
      </mc:Choice>
      <mc:Fallback>
        <oleObject progId="Equation.3" shapeId="1035" r:id="rId8"/>
      </mc:Fallback>
    </mc:AlternateContent>
    <mc:AlternateContent xmlns:mc="http://schemas.openxmlformats.org/markup-compatibility/2006">
      <mc:Choice Requires="x14">
        <oleObject progId="Equation.3" shapeId="1037" r:id="rId10">
          <objectPr defaultSize="0" r:id="rId11">
            <anchor moveWithCells="1" sizeWithCells="1">
              <from>
                <xdr:col>5</xdr:col>
                <xdr:colOff>171450</xdr:colOff>
                <xdr:row>78</xdr:row>
                <xdr:rowOff>19050</xdr:rowOff>
              </from>
              <to>
                <xdr:col>7</xdr:col>
                <xdr:colOff>38100</xdr:colOff>
                <xdr:row>79</xdr:row>
                <xdr:rowOff>114300</xdr:rowOff>
              </to>
            </anchor>
          </objectPr>
        </oleObject>
      </mc:Choice>
      <mc:Fallback>
        <oleObject progId="Equation.3" shapeId="1037" r:id="rId10"/>
      </mc:Fallback>
    </mc:AlternateContent>
    <mc:AlternateContent xmlns:mc="http://schemas.openxmlformats.org/markup-compatibility/2006">
      <mc:Choice Requires="x14">
        <oleObject progId="Equation.3" shapeId="1038" r:id="rId12">
          <objectPr defaultSize="0" r:id="rId13">
            <anchor moveWithCells="1" sizeWithCells="1">
              <from>
                <xdr:col>6</xdr:col>
                <xdr:colOff>600075</xdr:colOff>
                <xdr:row>81</xdr:row>
                <xdr:rowOff>180975</xdr:rowOff>
              </from>
              <to>
                <xdr:col>9</xdr:col>
                <xdr:colOff>104775</xdr:colOff>
                <xdr:row>85</xdr:row>
                <xdr:rowOff>104775</xdr:rowOff>
              </to>
            </anchor>
          </objectPr>
        </oleObject>
      </mc:Choice>
      <mc:Fallback>
        <oleObject progId="Equation.3" shapeId="1038" r:id="rId12"/>
      </mc:Fallback>
    </mc:AlternateContent>
    <mc:AlternateContent xmlns:mc="http://schemas.openxmlformats.org/markup-compatibility/2006">
      <mc:Choice Requires="x14">
        <oleObject progId="Equation.3" shapeId="1039" r:id="rId14">
          <objectPr defaultSize="0" r:id="rId15">
            <anchor moveWithCells="1" sizeWithCells="1">
              <from>
                <xdr:col>5</xdr:col>
                <xdr:colOff>114300</xdr:colOff>
                <xdr:row>69</xdr:row>
                <xdr:rowOff>76200</xdr:rowOff>
              </from>
              <to>
                <xdr:col>9</xdr:col>
                <xdr:colOff>352425</xdr:colOff>
                <xdr:row>74</xdr:row>
                <xdr:rowOff>19050</xdr:rowOff>
              </to>
            </anchor>
          </objectPr>
        </oleObject>
      </mc:Choice>
      <mc:Fallback>
        <oleObject progId="Equation.3" shapeId="1039" r:id="rId14"/>
      </mc:Fallback>
    </mc:AlternateContent>
    <mc:AlternateContent xmlns:mc="http://schemas.openxmlformats.org/markup-compatibility/2006">
      <mc:Choice Requires="x14">
        <oleObject progId="Equation.3" shapeId="1040" r:id="rId16">
          <objectPr defaultSize="0" r:id="rId17">
            <anchor moveWithCells="1" sizeWithCells="1">
              <from>
                <xdr:col>5</xdr:col>
                <xdr:colOff>161925</xdr:colOff>
                <xdr:row>74</xdr:row>
                <xdr:rowOff>85725</xdr:rowOff>
              </from>
              <to>
                <xdr:col>8</xdr:col>
                <xdr:colOff>247650</xdr:colOff>
                <xdr:row>77</xdr:row>
                <xdr:rowOff>133350</xdr:rowOff>
              </to>
            </anchor>
          </objectPr>
        </oleObject>
      </mc:Choice>
      <mc:Fallback>
        <oleObject progId="Equation.3" shapeId="1040" r:id="rId16"/>
      </mc:Fallback>
    </mc:AlternateContent>
    <mc:AlternateContent xmlns:mc="http://schemas.openxmlformats.org/markup-compatibility/2006">
      <mc:Choice Requires="x14">
        <oleObject progId="Equation.3" shapeId="1042" r:id="rId18">
          <objectPr defaultSize="0" r:id="rId19">
            <anchor moveWithCells="1" sizeWithCells="1">
              <from>
                <xdr:col>5</xdr:col>
                <xdr:colOff>190500</xdr:colOff>
                <xdr:row>80</xdr:row>
                <xdr:rowOff>0</xdr:rowOff>
              </from>
              <to>
                <xdr:col>6</xdr:col>
                <xdr:colOff>552450</xdr:colOff>
                <xdr:row>81</xdr:row>
                <xdr:rowOff>95250</xdr:rowOff>
              </to>
            </anchor>
          </objectPr>
        </oleObject>
      </mc:Choice>
      <mc:Fallback>
        <oleObject progId="Equation.3" shapeId="1042" r:id="rId18"/>
      </mc:Fallback>
    </mc:AlternateContent>
    <mc:AlternateContent xmlns:mc="http://schemas.openxmlformats.org/markup-compatibility/2006">
      <mc:Choice Requires="x14">
        <oleObject progId="Equation.3" shapeId="1053" r:id="rId20">
          <objectPr defaultSize="0" r:id="rId15">
            <anchor moveWithCells="1" sizeWithCells="1">
              <from>
                <xdr:col>4</xdr:col>
                <xdr:colOff>590550</xdr:colOff>
                <xdr:row>115</xdr:row>
                <xdr:rowOff>76200</xdr:rowOff>
              </from>
              <to>
                <xdr:col>9</xdr:col>
                <xdr:colOff>219075</xdr:colOff>
                <xdr:row>120</xdr:row>
                <xdr:rowOff>19050</xdr:rowOff>
              </to>
            </anchor>
          </objectPr>
        </oleObject>
      </mc:Choice>
      <mc:Fallback>
        <oleObject progId="Equation.3" shapeId="1053" r:id="rId20"/>
      </mc:Fallback>
    </mc:AlternateContent>
    <mc:AlternateContent xmlns:mc="http://schemas.openxmlformats.org/markup-compatibility/2006">
      <mc:Choice Requires="x14">
        <oleObject progId="Equation.3" shapeId="1054" r:id="rId21">
          <objectPr defaultSize="0" r:id="rId17">
            <anchor moveWithCells="1" sizeWithCells="1">
              <from>
                <xdr:col>4</xdr:col>
                <xdr:colOff>590550</xdr:colOff>
                <xdr:row>120</xdr:row>
                <xdr:rowOff>123825</xdr:rowOff>
              </from>
              <to>
                <xdr:col>8</xdr:col>
                <xdr:colOff>66675</xdr:colOff>
                <xdr:row>123</xdr:row>
                <xdr:rowOff>171450</xdr:rowOff>
              </to>
            </anchor>
          </objectPr>
        </oleObject>
      </mc:Choice>
      <mc:Fallback>
        <oleObject progId="Equation.3" shapeId="1054" r:id="rId21"/>
      </mc:Fallback>
    </mc:AlternateContent>
    <mc:AlternateContent xmlns:mc="http://schemas.openxmlformats.org/markup-compatibility/2006">
      <mc:Choice Requires="x14">
        <oleObject progId="Equation.3" shapeId="1057" r:id="rId22">
          <objectPr defaultSize="0" r:id="rId23">
            <anchor moveWithCells="1" sizeWithCells="1">
              <from>
                <xdr:col>4</xdr:col>
                <xdr:colOff>581025</xdr:colOff>
                <xdr:row>105</xdr:row>
                <xdr:rowOff>171450</xdr:rowOff>
              </from>
              <to>
                <xdr:col>9</xdr:col>
                <xdr:colOff>171450</xdr:colOff>
                <xdr:row>110</xdr:row>
                <xdr:rowOff>57150</xdr:rowOff>
              </to>
            </anchor>
          </objectPr>
        </oleObject>
      </mc:Choice>
      <mc:Fallback>
        <oleObject progId="Equation.3" shapeId="1057" r:id="rId22"/>
      </mc:Fallback>
    </mc:AlternateContent>
    <mc:AlternateContent xmlns:mc="http://schemas.openxmlformats.org/markup-compatibility/2006">
      <mc:Choice Requires="x14">
        <oleObject progId="Equation.3" shapeId="1058" r:id="rId24">
          <objectPr defaultSize="0" r:id="rId25">
            <anchor moveWithCells="1" sizeWithCells="1">
              <from>
                <xdr:col>4</xdr:col>
                <xdr:colOff>590550</xdr:colOff>
                <xdr:row>110</xdr:row>
                <xdr:rowOff>161925</xdr:rowOff>
              </from>
              <to>
                <xdr:col>8</xdr:col>
                <xdr:colOff>180975</xdr:colOff>
                <xdr:row>114</xdr:row>
                <xdr:rowOff>180975</xdr:rowOff>
              </to>
            </anchor>
          </objectPr>
        </oleObject>
      </mc:Choice>
      <mc:Fallback>
        <oleObject progId="Equation.3" shapeId="1058" r:id="rId24"/>
      </mc:Fallback>
    </mc:AlternateContent>
    <mc:AlternateContent xmlns:mc="http://schemas.openxmlformats.org/markup-compatibility/2006">
      <mc:Choice Requires="x14">
        <oleObject progId="Equation.3" shapeId="1059" r:id="rId26">
          <objectPr defaultSize="0" r:id="rId11">
            <anchor moveWithCells="1" sizeWithCells="1">
              <from>
                <xdr:col>5</xdr:col>
                <xdr:colOff>9525</xdr:colOff>
                <xdr:row>125</xdr:row>
                <xdr:rowOff>76200</xdr:rowOff>
              </from>
              <to>
                <xdr:col>6</xdr:col>
                <xdr:colOff>485775</xdr:colOff>
                <xdr:row>126</xdr:row>
                <xdr:rowOff>171450</xdr:rowOff>
              </to>
            </anchor>
          </objectPr>
        </oleObject>
      </mc:Choice>
      <mc:Fallback>
        <oleObject progId="Equation.3" shapeId="1059" r:id="rId26"/>
      </mc:Fallback>
    </mc:AlternateContent>
    <mc:AlternateContent xmlns:mc="http://schemas.openxmlformats.org/markup-compatibility/2006">
      <mc:Choice Requires="x14">
        <oleObject progId="Equation.3" shapeId="1060" r:id="rId27">
          <objectPr defaultSize="0" r:id="rId19">
            <anchor moveWithCells="1" sizeWithCells="1">
              <from>
                <xdr:col>5</xdr:col>
                <xdr:colOff>19050</xdr:colOff>
                <xdr:row>127</xdr:row>
                <xdr:rowOff>66675</xdr:rowOff>
              </from>
              <to>
                <xdr:col>6</xdr:col>
                <xdr:colOff>381000</xdr:colOff>
                <xdr:row>128</xdr:row>
                <xdr:rowOff>161925</xdr:rowOff>
              </to>
            </anchor>
          </objectPr>
        </oleObject>
      </mc:Choice>
      <mc:Fallback>
        <oleObject progId="Equation.3" shapeId="1060" r:id="rId27"/>
      </mc:Fallback>
    </mc:AlternateContent>
    <mc:AlternateContent xmlns:mc="http://schemas.openxmlformats.org/markup-compatibility/2006">
      <mc:Choice Requires="x14">
        <oleObject progId="Equation.3" shapeId="1061" r:id="rId28">
          <objectPr defaultSize="0" r:id="rId9">
            <anchor moveWithCells="1" sizeWithCells="1">
              <from>
                <xdr:col>5</xdr:col>
                <xdr:colOff>38100</xdr:colOff>
                <xdr:row>129</xdr:row>
                <xdr:rowOff>38100</xdr:rowOff>
              </from>
              <to>
                <xdr:col>7</xdr:col>
                <xdr:colOff>66675</xdr:colOff>
                <xdr:row>132</xdr:row>
                <xdr:rowOff>180975</xdr:rowOff>
              </to>
            </anchor>
          </objectPr>
        </oleObject>
      </mc:Choice>
      <mc:Fallback>
        <oleObject progId="Equation.3" shapeId="1061" r:id="rId2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DE5DD-964E-43AF-B9BD-434C1775F5F1}">
  <dimension ref="B1:AE90"/>
  <sheetViews>
    <sheetView tabSelected="1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RowHeight="15" x14ac:dyDescent="0.25"/>
  <cols>
    <col min="5" max="5" width="17.5703125" customWidth="1"/>
  </cols>
  <sheetData>
    <row r="1" spans="2:31" x14ac:dyDescent="0.25">
      <c r="B1" s="28" t="s">
        <v>96</v>
      </c>
      <c r="C1" s="28" t="s">
        <v>96</v>
      </c>
      <c r="D1" s="28" t="s">
        <v>97</v>
      </c>
      <c r="E1" s="28" t="s">
        <v>20</v>
      </c>
      <c r="F1" s="28" t="s">
        <v>98</v>
      </c>
      <c r="G1" s="28" t="s">
        <v>98</v>
      </c>
      <c r="H1" s="28" t="s">
        <v>99</v>
      </c>
      <c r="I1" s="28" t="s">
        <v>99</v>
      </c>
      <c r="J1" s="28" t="s">
        <v>68</v>
      </c>
      <c r="K1" s="28" t="s">
        <v>68</v>
      </c>
      <c r="L1" s="28" t="s">
        <v>68</v>
      </c>
      <c r="M1" s="28" t="s">
        <v>68</v>
      </c>
      <c r="N1" s="28" t="s">
        <v>100</v>
      </c>
      <c r="O1" s="28" t="s">
        <v>100</v>
      </c>
      <c r="P1" s="28" t="s">
        <v>100</v>
      </c>
      <c r="Q1" s="28" t="s">
        <v>100</v>
      </c>
      <c r="R1" s="28" t="s">
        <v>101</v>
      </c>
      <c r="S1" s="28" t="s">
        <v>101</v>
      </c>
      <c r="T1" s="28" t="s">
        <v>67</v>
      </c>
      <c r="U1" s="28" t="s">
        <v>67</v>
      </c>
      <c r="V1" s="28" t="s">
        <v>102</v>
      </c>
      <c r="W1" s="28" t="s">
        <v>102</v>
      </c>
      <c r="Y1" s="29" t="s">
        <v>103</v>
      </c>
      <c r="Z1" s="29" t="s">
        <v>97</v>
      </c>
      <c r="AA1" s="29" t="s">
        <v>104</v>
      </c>
      <c r="AB1" s="29" t="s">
        <v>105</v>
      </c>
      <c r="AC1" s="29" t="s">
        <v>106</v>
      </c>
      <c r="AD1" s="29" t="s">
        <v>107</v>
      </c>
      <c r="AE1" s="29" t="s">
        <v>108</v>
      </c>
    </row>
    <row r="2" spans="2:31" x14ac:dyDescent="0.25">
      <c r="B2" s="28" t="s">
        <v>15</v>
      </c>
      <c r="C2" s="28" t="s">
        <v>58</v>
      </c>
      <c r="D2" s="28"/>
      <c r="E2" s="28" t="s">
        <v>109</v>
      </c>
      <c r="F2" s="28" t="s">
        <v>1</v>
      </c>
      <c r="G2" s="28" t="s">
        <v>69</v>
      </c>
      <c r="H2" s="28" t="s">
        <v>1</v>
      </c>
      <c r="I2" s="28" t="s">
        <v>69</v>
      </c>
      <c r="J2" s="28" t="s">
        <v>21</v>
      </c>
      <c r="K2" s="28" t="s">
        <v>110</v>
      </c>
      <c r="L2" s="28" t="s">
        <v>2</v>
      </c>
      <c r="M2" s="28" t="s">
        <v>85</v>
      </c>
      <c r="N2" s="28" t="s">
        <v>21</v>
      </c>
      <c r="O2" s="28" t="s">
        <v>110</v>
      </c>
      <c r="P2" s="28" t="s">
        <v>2</v>
      </c>
      <c r="Q2" s="28" t="s">
        <v>85</v>
      </c>
      <c r="R2" s="28" t="s">
        <v>111</v>
      </c>
      <c r="S2" s="28" t="s">
        <v>86</v>
      </c>
      <c r="T2" s="28" t="s">
        <v>25</v>
      </c>
      <c r="U2" s="28" t="s">
        <v>87</v>
      </c>
      <c r="V2" s="28" t="s">
        <v>25</v>
      </c>
      <c r="W2" s="28" t="s">
        <v>87</v>
      </c>
      <c r="Y2" s="29"/>
      <c r="Z2" s="29"/>
      <c r="AA2" s="29"/>
      <c r="AB2" s="29"/>
      <c r="AC2" s="29"/>
      <c r="AD2" s="29"/>
      <c r="AE2" s="29"/>
    </row>
    <row r="3" spans="2:31" x14ac:dyDescent="0.25">
      <c r="B3">
        <v>0</v>
      </c>
      <c r="C3">
        <f>B3/3.28</f>
        <v>0</v>
      </c>
      <c r="D3">
        <f>M_1</f>
        <v>0.27282128954713225</v>
      </c>
      <c r="E3">
        <f t="shared" ref="E3:E34" si="0">(Gam/Z/Rg)^0.5*D3*(1+D3^2*(Gam-1)/2)^(-(Gam+1)/2/(Gam-1))</f>
        <v>4.2277635905852179E-2</v>
      </c>
      <c r="F3">
        <f>P_1</f>
        <v>379.83863759721538</v>
      </c>
      <c r="G3" s="21">
        <f>F3*6.89476</f>
        <v>2618.8962449597766</v>
      </c>
      <c r="H3">
        <f>Po_1</f>
        <v>400</v>
      </c>
      <c r="I3" s="21">
        <f>H3*6.89476</f>
        <v>2757.904</v>
      </c>
      <c r="J3">
        <f>T_1</f>
        <v>649.99400003333028</v>
      </c>
      <c r="K3">
        <f>J3/1.8</f>
        <v>361.10777779629461</v>
      </c>
      <c r="L3">
        <f>J3-'Example 6.1'!$C$9</f>
        <v>190.32400003333026</v>
      </c>
      <c r="M3">
        <f>K3-'Example 6.1'!$C$10</f>
        <v>87.957777796294636</v>
      </c>
      <c r="N3">
        <f>To_1</f>
        <v>659.67000000000007</v>
      </c>
      <c r="O3">
        <f>N3/1.8</f>
        <v>366.48333333333335</v>
      </c>
      <c r="P3">
        <f>N3-'Example 6.1'!$C$9</f>
        <v>200.00000000000006</v>
      </c>
      <c r="Q3">
        <f>O3-'Example 6.1'!$C$10</f>
        <v>93.333333333333371</v>
      </c>
      <c r="R3">
        <f>rho_1</f>
        <v>1.5772242267123409</v>
      </c>
      <c r="S3">
        <f>R3*16.01846</f>
        <v>25.264703186622565</v>
      </c>
      <c r="T3">
        <f t="shared" ref="T3:T34" si="1">(Gam*F3/R3*gc*144)^0.5</f>
        <v>1249.829130254594</v>
      </c>
      <c r="U3">
        <f>T3/3.28</f>
        <v>381.04546654103478</v>
      </c>
      <c r="V3">
        <f>D3*T3</f>
        <v>340.97999502962904</v>
      </c>
      <c r="W3">
        <f>V3/3.28</f>
        <v>103.95731555781374</v>
      </c>
      <c r="Y3">
        <f t="shared" ref="Y3:Y34" si="2">B3/L</f>
        <v>0</v>
      </c>
      <c r="Z3">
        <f>D3</f>
        <v>0.27282128954713225</v>
      </c>
      <c r="AA3">
        <f>F3/$F$3</f>
        <v>1</v>
      </c>
      <c r="AB3">
        <f>H3/$H$3</f>
        <v>1</v>
      </c>
      <c r="AC3">
        <f>J3/$J$3</f>
        <v>1</v>
      </c>
      <c r="AD3">
        <f>R3/$R$3</f>
        <v>1</v>
      </c>
      <c r="AE3">
        <f>V3/$V$3</f>
        <v>1</v>
      </c>
    </row>
    <row r="4" spans="2:31" x14ac:dyDescent="0.25">
      <c r="B4">
        <f t="shared" ref="B4:B35" si="3">(1/Gam*(1/M_1^2-1/D4^2)+(Gam+1)/2/Gam*LN((M_1^2/D4^2)*(1+D4^2*(Gam-1)/2)/(1+M_1^2*(Gam-1)/2)))*D/f</f>
        <v>8.9097015460499893</v>
      </c>
      <c r="C4">
        <f>B4/3.28</f>
        <v>2.7163724225762165</v>
      </c>
      <c r="D4">
        <f>D3+0.01</f>
        <v>0.28282128954713226</v>
      </c>
      <c r="E4">
        <f t="shared" si="0"/>
        <v>4.3683625764949538E-2</v>
      </c>
      <c r="F4">
        <f t="shared" ref="F4:F35" si="4">H4/(1+(Gam-1)/2*D4^2)^(Gam/(Gam-1))</f>
        <v>366.20785536326321</v>
      </c>
      <c r="G4" s="21">
        <f>F4*6.89476</f>
        <v>2524.9152728444124</v>
      </c>
      <c r="H4">
        <f t="shared" ref="H4:H35" si="5">mdot*N4^0.5/A/E4/gc^0.5/144</f>
        <v>387.12570365232369</v>
      </c>
      <c r="I4" s="21">
        <f>H4*6.89476</f>
        <v>2669.1388165138951</v>
      </c>
      <c r="J4">
        <f t="shared" ref="J4:J35" si="6">N4/(1+(Gam-1)/2*D4^2)</f>
        <v>649.28304490710502</v>
      </c>
      <c r="K4">
        <f t="shared" ref="K4:K67" si="7">J4/1.8</f>
        <v>360.71280272616946</v>
      </c>
      <c r="L4">
        <f>J4-'Example 6.1'!$C$9</f>
        <v>189.61304490710501</v>
      </c>
      <c r="M4">
        <f>K4-'Example 6.1'!$C$10</f>
        <v>87.56280272616948</v>
      </c>
      <c r="N4">
        <f>N3</f>
        <v>659.67000000000007</v>
      </c>
      <c r="O4">
        <f>O3</f>
        <v>366.48333333333335</v>
      </c>
      <c r="P4">
        <f>N4-'Example 6.1'!$C$9</f>
        <v>200.00000000000006</v>
      </c>
      <c r="Q4">
        <f>O4-'Example 6.1'!$C$10</f>
        <v>93.333333333333371</v>
      </c>
      <c r="R4">
        <f t="shared" ref="R4:R35" si="8">F4/J4/Rg/Z*144</f>
        <v>1.5222894636421909</v>
      </c>
      <c r="S4">
        <f>R4*16.01846</f>
        <v>24.384732881773889</v>
      </c>
      <c r="T4">
        <f t="shared" si="1"/>
        <v>1249.145419683975</v>
      </c>
      <c r="U4">
        <f>T4/3.28</f>
        <v>380.83701819633387</v>
      </c>
      <c r="V4">
        <f>D4*T4</f>
        <v>353.28491842691551</v>
      </c>
      <c r="W4">
        <f>V4/3.28</f>
        <v>107.70881659357181</v>
      </c>
      <c r="Y4">
        <f t="shared" si="2"/>
        <v>8.909701546049989E-2</v>
      </c>
      <c r="Z4">
        <f t="shared" ref="Z4:Z67" si="9">D4</f>
        <v>0.28282128954713226</v>
      </c>
      <c r="AA4">
        <f t="shared" ref="AA4:AA67" si="10">F4/$F$3</f>
        <v>0.96411428200096272</v>
      </c>
      <c r="AB4">
        <f t="shared" ref="AB4:AB67" si="11">H4/$H$3</f>
        <v>0.96781425913080921</v>
      </c>
      <c r="AC4">
        <f t="shared" ref="AC4:AC67" si="12">J4/$J$3</f>
        <v>0.9989062127862891</v>
      </c>
      <c r="AD4">
        <f t="shared" ref="AD4:AD67" si="13">R4/$R$3</f>
        <v>0.9651699725760241</v>
      </c>
      <c r="AE4">
        <f t="shared" ref="AE4:AE67" si="14">V4/$V$3</f>
        <v>1.0360869364087393</v>
      </c>
    </row>
    <row r="5" spans="2:31" x14ac:dyDescent="0.25">
      <c r="B5">
        <f t="shared" si="3"/>
        <v>16.8642973712426</v>
      </c>
      <c r="C5">
        <f t="shared" ref="C5:C68" si="15">B5/3.28</f>
        <v>5.1415540765983536</v>
      </c>
      <c r="D5">
        <f t="shared" ref="D5:D68" si="16">D4+0.01</f>
        <v>0.29282128954713227</v>
      </c>
      <c r="E5">
        <f t="shared" si="0"/>
        <v>4.5074787966352392E-2</v>
      </c>
      <c r="F5">
        <f t="shared" si="4"/>
        <v>353.5014361306267</v>
      </c>
      <c r="G5" s="21">
        <f t="shared" ref="G5:G68" si="17">F5*6.89476</f>
        <v>2437.3075617759996</v>
      </c>
      <c r="H5">
        <f t="shared" si="5"/>
        <v>375.17767970344534</v>
      </c>
      <c r="I5" s="21">
        <f t="shared" ref="I5:I68" si="18">H5*6.89476</f>
        <v>2586.7600589121266</v>
      </c>
      <c r="J5">
        <f t="shared" si="6"/>
        <v>648.54813779434846</v>
      </c>
      <c r="K5">
        <f t="shared" si="7"/>
        <v>360.30452099686028</v>
      </c>
      <c r="L5">
        <f>J5-'Example 6.1'!$C$9</f>
        <v>188.87813779434845</v>
      </c>
      <c r="M5">
        <f>K5-'Example 6.1'!$C$10</f>
        <v>87.154520996860299</v>
      </c>
      <c r="N5">
        <f t="shared" ref="N5:O20" si="19">N4</f>
        <v>659.67000000000007</v>
      </c>
      <c r="O5">
        <f t="shared" si="19"/>
        <v>366.48333333333335</v>
      </c>
      <c r="P5">
        <f>N5-'Example 6.1'!$C$9</f>
        <v>200.00000000000006</v>
      </c>
      <c r="Q5">
        <f>O5-'Example 6.1'!$C$10</f>
        <v>93.333333333333371</v>
      </c>
      <c r="R5">
        <f t="shared" si="8"/>
        <v>1.4711352894569611</v>
      </c>
      <c r="S5">
        <f t="shared" ref="S5:S68" si="20">R5*16.01846</f>
        <v>23.565321788754755</v>
      </c>
      <c r="T5">
        <f t="shared" si="1"/>
        <v>1248.4382814219846</v>
      </c>
      <c r="U5">
        <f t="shared" ref="U5:U68" si="21">T5/3.28</f>
        <v>380.62142726280018</v>
      </c>
      <c r="V5">
        <f t="shared" ref="V5:V68" si="22">D5*T5</f>
        <v>365.56930748599115</v>
      </c>
      <c r="W5">
        <f t="shared" ref="W5:W68" si="23">V5/3.28</f>
        <v>111.45405716036316</v>
      </c>
      <c r="Y5">
        <f t="shared" si="2"/>
        <v>0.16864297371242601</v>
      </c>
      <c r="Z5">
        <f t="shared" si="9"/>
        <v>0.29282128954713227</v>
      </c>
      <c r="AA5">
        <f t="shared" si="10"/>
        <v>0.9306621316009539</v>
      </c>
      <c r="AB5">
        <f t="shared" si="11"/>
        <v>0.93794419925861339</v>
      </c>
      <c r="AC5">
        <f t="shared" si="12"/>
        <v>0.9977755760223822</v>
      </c>
      <c r="AD5">
        <f t="shared" si="13"/>
        <v>0.93273693400175717</v>
      </c>
      <c r="AE5">
        <f t="shared" si="14"/>
        <v>1.0721136512839278</v>
      </c>
    </row>
    <row r="6" spans="2:31" x14ac:dyDescent="0.25">
      <c r="B6">
        <f t="shared" si="3"/>
        <v>23.989879277404157</v>
      </c>
      <c r="C6">
        <f t="shared" si="15"/>
        <v>7.3139875845744386</v>
      </c>
      <c r="D6">
        <f t="shared" si="16"/>
        <v>0.30282128954713228</v>
      </c>
      <c r="E6">
        <f t="shared" si="0"/>
        <v>4.6450715007213927E-2</v>
      </c>
      <c r="F6">
        <f t="shared" si="4"/>
        <v>341.62783814893419</v>
      </c>
      <c r="G6" s="21">
        <f t="shared" si="17"/>
        <v>2355.4419533557452</v>
      </c>
      <c r="H6">
        <f t="shared" si="5"/>
        <v>364.06445755925472</v>
      </c>
      <c r="I6" s="21">
        <f t="shared" si="18"/>
        <v>2510.1370594012469</v>
      </c>
      <c r="J6">
        <f t="shared" si="6"/>
        <v>647.78944653245173</v>
      </c>
      <c r="K6">
        <f t="shared" si="7"/>
        <v>359.88302585136205</v>
      </c>
      <c r="L6">
        <f>J6-'Example 6.1'!$C$9</f>
        <v>188.11944653245172</v>
      </c>
      <c r="M6">
        <f>K6-'Example 6.1'!$C$10</f>
        <v>86.733025851362072</v>
      </c>
      <c r="N6">
        <f t="shared" si="19"/>
        <v>659.67000000000007</v>
      </c>
      <c r="O6">
        <f t="shared" si="19"/>
        <v>366.48333333333335</v>
      </c>
      <c r="P6">
        <f>N6-'Example 6.1'!$C$9</f>
        <v>200.00000000000006</v>
      </c>
      <c r="Q6">
        <f>O6-'Example 6.1'!$C$10</f>
        <v>93.333333333333371</v>
      </c>
      <c r="R6">
        <f t="shared" si="8"/>
        <v>1.4233871207678963</v>
      </c>
      <c r="S6">
        <f t="shared" si="20"/>
        <v>22.800469658535718</v>
      </c>
      <c r="T6">
        <f t="shared" si="1"/>
        <v>1247.7078372715812</v>
      </c>
      <c r="U6">
        <f t="shared" si="21"/>
        <v>380.3987308754821</v>
      </c>
      <c r="V6">
        <f t="shared" si="22"/>
        <v>377.83249626064367</v>
      </c>
      <c r="W6">
        <f t="shared" si="23"/>
        <v>115.192834225806</v>
      </c>
      <c r="Y6">
        <f t="shared" si="2"/>
        <v>0.23989879277404158</v>
      </c>
      <c r="Z6">
        <f t="shared" si="9"/>
        <v>0.30282128954713228</v>
      </c>
      <c r="AA6">
        <f t="shared" si="10"/>
        <v>0.8994025471184417</v>
      </c>
      <c r="AB6">
        <f t="shared" si="11"/>
        <v>0.91016114389813685</v>
      </c>
      <c r="AC6">
        <f t="shared" si="12"/>
        <v>0.9966083479220339</v>
      </c>
      <c r="AD6">
        <f t="shared" si="13"/>
        <v>0.90246338894685152</v>
      </c>
      <c r="AE6">
        <f t="shared" si="14"/>
        <v>1.1080781915895459</v>
      </c>
    </row>
    <row r="7" spans="2:31" x14ac:dyDescent="0.25">
      <c r="B7">
        <f t="shared" si="3"/>
        <v>30.392585962550278</v>
      </c>
      <c r="C7">
        <f t="shared" si="15"/>
        <v>9.2660323056555729</v>
      </c>
      <c r="D7">
        <f t="shared" si="16"/>
        <v>0.31282128954713229</v>
      </c>
      <c r="E7">
        <f t="shared" si="0"/>
        <v>4.7811010548079215E-2</v>
      </c>
      <c r="F7">
        <f t="shared" si="4"/>
        <v>330.50722593836525</v>
      </c>
      <c r="G7" s="21">
        <f t="shared" si="17"/>
        <v>2278.7680011108032</v>
      </c>
      <c r="H7">
        <f t="shared" si="5"/>
        <v>353.70627327224031</v>
      </c>
      <c r="I7" s="21">
        <f t="shared" si="18"/>
        <v>2438.7198647065115</v>
      </c>
      <c r="J7">
        <f t="shared" si="6"/>
        <v>647.00714378618113</v>
      </c>
      <c r="K7">
        <f t="shared" si="7"/>
        <v>359.44841321454504</v>
      </c>
      <c r="L7">
        <f>J7-'Example 6.1'!$C$9</f>
        <v>187.33714378618112</v>
      </c>
      <c r="M7">
        <f>K7-'Example 6.1'!$C$10</f>
        <v>86.298413214545064</v>
      </c>
      <c r="N7">
        <f t="shared" si="19"/>
        <v>659.67000000000007</v>
      </c>
      <c r="O7">
        <f t="shared" si="19"/>
        <v>366.48333333333335</v>
      </c>
      <c r="P7">
        <f>N7-'Example 6.1'!$C$9</f>
        <v>200.00000000000006</v>
      </c>
      <c r="Q7">
        <f>O7-'Example 6.1'!$C$10</f>
        <v>93.333333333333371</v>
      </c>
      <c r="R7">
        <f t="shared" si="8"/>
        <v>1.3787182701775045</v>
      </c>
      <c r="S7">
        <f t="shared" si="20"/>
        <v>22.08494346210755</v>
      </c>
      <c r="T7">
        <f t="shared" si="1"/>
        <v>1246.9542126615936</v>
      </c>
      <c r="U7">
        <f t="shared" si="21"/>
        <v>380.16896727487614</v>
      </c>
      <c r="V7">
        <f t="shared" si="22"/>
        <v>390.07382481102871</v>
      </c>
      <c r="W7">
        <f t="shared" si="23"/>
        <v>118.92494658872828</v>
      </c>
      <c r="Y7">
        <f t="shared" si="2"/>
        <v>0.30392585962550278</v>
      </c>
      <c r="Z7">
        <f t="shared" si="9"/>
        <v>0.31282128954713229</v>
      </c>
      <c r="AA7">
        <f t="shared" si="10"/>
        <v>0.87012534593397095</v>
      </c>
      <c r="AB7">
        <f t="shared" si="11"/>
        <v>0.88426568318060073</v>
      </c>
      <c r="AC7">
        <f t="shared" si="12"/>
        <v>0.99540479412579808</v>
      </c>
      <c r="AD7">
        <f t="shared" si="13"/>
        <v>0.87414220934926046</v>
      </c>
      <c r="AE7">
        <f t="shared" si="14"/>
        <v>1.1439786219045893</v>
      </c>
    </row>
    <row r="8" spans="2:31" x14ac:dyDescent="0.25">
      <c r="B8">
        <f t="shared" si="3"/>
        <v>36.16226454786613</v>
      </c>
      <c r="C8">
        <f t="shared" si="15"/>
        <v>11.025080654837236</v>
      </c>
      <c r="D8">
        <f t="shared" si="16"/>
        <v>0.3228212895471323</v>
      </c>
      <c r="E8">
        <f t="shared" si="0"/>
        <v>4.9155289632019247E-2</v>
      </c>
      <c r="F8">
        <f t="shared" si="4"/>
        <v>320.06965715530487</v>
      </c>
      <c r="G8" s="21">
        <f t="shared" si="17"/>
        <v>2206.8034693681097</v>
      </c>
      <c r="H8">
        <f t="shared" si="5"/>
        <v>344.03325641936982</v>
      </c>
      <c r="I8" s="21">
        <f t="shared" si="18"/>
        <v>2372.0267350300142</v>
      </c>
      <c r="J8">
        <f t="shared" si="6"/>
        <v>646.20140695185569</v>
      </c>
      <c r="K8">
        <f t="shared" si="7"/>
        <v>359.00078163991981</v>
      </c>
      <c r="L8">
        <f>J8-'Example 6.1'!$C$9</f>
        <v>186.53140695185567</v>
      </c>
      <c r="M8">
        <f>K8-'Example 6.1'!$C$10</f>
        <v>85.85078163991983</v>
      </c>
      <c r="N8">
        <f t="shared" si="19"/>
        <v>659.67000000000007</v>
      </c>
      <c r="O8">
        <f t="shared" si="19"/>
        <v>366.48333333333335</v>
      </c>
      <c r="P8">
        <f>N8-'Example 6.1'!$C$9</f>
        <v>200.00000000000006</v>
      </c>
      <c r="Q8">
        <f>O8-'Example 6.1'!$C$10</f>
        <v>93.333333333333371</v>
      </c>
      <c r="R8">
        <f t="shared" si="8"/>
        <v>1.3368425279477723</v>
      </c>
      <c r="S8">
        <f t="shared" si="20"/>
        <v>21.414158560230273</v>
      </c>
      <c r="T8">
        <f t="shared" si="1"/>
        <v>1246.1775365883484</v>
      </c>
      <c r="U8">
        <f t="shared" si="21"/>
        <v>379.93217578913061</v>
      </c>
      <c r="V8">
        <f t="shared" si="22"/>
        <v>402.29263936611926</v>
      </c>
      <c r="W8">
        <f t="shared" si="23"/>
        <v>122.6501949286949</v>
      </c>
      <c r="Y8">
        <f t="shared" si="2"/>
        <v>0.3616226454786613</v>
      </c>
      <c r="Z8">
        <f t="shared" si="9"/>
        <v>0.3228212895471323</v>
      </c>
      <c r="AA8">
        <f t="shared" si="10"/>
        <v>0.84264639105700956</v>
      </c>
      <c r="AB8">
        <f t="shared" si="11"/>
        <v>0.86008314104842454</v>
      </c>
      <c r="AC8">
        <f t="shared" si="12"/>
        <v>0.99416518755360805</v>
      </c>
      <c r="AD8">
        <f t="shared" si="13"/>
        <v>0.84759193100550179</v>
      </c>
      <c r="AE8">
        <f t="shared" si="14"/>
        <v>1.1798130248994887</v>
      </c>
    </row>
    <row r="9" spans="2:31" x14ac:dyDescent="0.25">
      <c r="B9">
        <f t="shared" si="3"/>
        <v>41.37537247832266</v>
      </c>
      <c r="C9">
        <f t="shared" si="15"/>
        <v>12.614442828756909</v>
      </c>
      <c r="D9">
        <f t="shared" si="16"/>
        <v>0.3328212895471323</v>
      </c>
      <c r="E9">
        <f t="shared" si="0"/>
        <v>5.0483178889679146E-2</v>
      </c>
      <c r="F9">
        <f t="shared" si="4"/>
        <v>310.25359632394884</v>
      </c>
      <c r="G9" s="21">
        <f t="shared" si="17"/>
        <v>2139.1240857905095</v>
      </c>
      <c r="H9">
        <f t="shared" si="5"/>
        <v>334.98394384586163</v>
      </c>
      <c r="I9" s="21">
        <f t="shared" si="18"/>
        <v>2309.633896670693</v>
      </c>
      <c r="J9">
        <f t="shared" si="6"/>
        <v>645.37241805942858</v>
      </c>
      <c r="K9">
        <f t="shared" si="7"/>
        <v>358.5402322552381</v>
      </c>
      <c r="L9">
        <f>J9-'Example 6.1'!$C$9</f>
        <v>185.70241805942857</v>
      </c>
      <c r="M9">
        <f>K9-'Example 6.1'!$C$10</f>
        <v>85.390232255238118</v>
      </c>
      <c r="N9">
        <f t="shared" si="19"/>
        <v>659.67000000000007</v>
      </c>
      <c r="O9">
        <f t="shared" si="19"/>
        <v>366.48333333333335</v>
      </c>
      <c r="P9">
        <f>N9-'Example 6.1'!$C$9</f>
        <v>200.00000000000006</v>
      </c>
      <c r="Q9">
        <f>O9-'Example 6.1'!$C$10</f>
        <v>93.333333333333371</v>
      </c>
      <c r="R9">
        <f t="shared" si="8"/>
        <v>1.2975080810227821</v>
      </c>
      <c r="S9">
        <f t="shared" si="20"/>
        <v>20.784081295540197</v>
      </c>
      <c r="T9">
        <f t="shared" si="1"/>
        <v>1245.3779415559259</v>
      </c>
      <c r="U9">
        <f t="shared" si="21"/>
        <v>379.68839681583108</v>
      </c>
      <c r="V9">
        <f t="shared" si="22"/>
        <v>414.48829248219641</v>
      </c>
      <c r="W9">
        <f t="shared" si="23"/>
        <v>126.36838185432818</v>
      </c>
      <c r="Y9">
        <f t="shared" si="2"/>
        <v>0.41375372478322658</v>
      </c>
      <c r="Z9">
        <f t="shared" si="9"/>
        <v>0.3328212895471323</v>
      </c>
      <c r="AA9">
        <f t="shared" si="10"/>
        <v>0.81680367823176747</v>
      </c>
      <c r="AB9">
        <f t="shared" si="11"/>
        <v>0.83745985961465408</v>
      </c>
      <c r="AC9">
        <f t="shared" si="12"/>
        <v>0.99288980825413053</v>
      </c>
      <c r="AD9">
        <f t="shared" si="13"/>
        <v>0.82265289807739284</v>
      </c>
      <c r="AE9">
        <f t="shared" si="14"/>
        <v>1.2155795018009192</v>
      </c>
    </row>
    <row r="10" spans="2:31" x14ac:dyDescent="0.25">
      <c r="B10">
        <f t="shared" si="3"/>
        <v>46.097294597471524</v>
      </c>
      <c r="C10">
        <f t="shared" si="15"/>
        <v>14.054053230936441</v>
      </c>
      <c r="D10">
        <f t="shared" si="16"/>
        <v>0.34282128954713231</v>
      </c>
      <c r="E10">
        <f t="shared" si="0"/>
        <v>5.1794316730111679E-2</v>
      </c>
      <c r="F10">
        <f t="shared" si="4"/>
        <v>301.00468869176279</v>
      </c>
      <c r="G10" s="21">
        <f t="shared" si="17"/>
        <v>2075.3550874044186</v>
      </c>
      <c r="H10">
        <f t="shared" si="5"/>
        <v>326.50405353275534</v>
      </c>
      <c r="I10" s="21">
        <f t="shared" si="18"/>
        <v>2251.1670881355003</v>
      </c>
      <c r="J10">
        <f t="shared" si="6"/>
        <v>644.5203636725704</v>
      </c>
      <c r="K10">
        <f t="shared" si="7"/>
        <v>358.06686870698354</v>
      </c>
      <c r="L10">
        <f>J10-'Example 6.1'!$C$9</f>
        <v>184.85036367257038</v>
      </c>
      <c r="M10">
        <f>K10-'Example 6.1'!$C$10</f>
        <v>84.916868706983564</v>
      </c>
      <c r="N10">
        <f t="shared" si="19"/>
        <v>659.67000000000007</v>
      </c>
      <c r="O10">
        <f t="shared" si="19"/>
        <v>366.48333333333335</v>
      </c>
      <c r="P10">
        <f>N10-'Example 6.1'!$C$9</f>
        <v>200.00000000000006</v>
      </c>
      <c r="Q10">
        <f>O10-'Example 6.1'!$C$10</f>
        <v>93.333333333333371</v>
      </c>
      <c r="R10">
        <f t="shared" si="8"/>
        <v>1.2604924963339741</v>
      </c>
      <c r="S10">
        <f t="shared" si="20"/>
        <v>20.191148632825911</v>
      </c>
      <c r="T10">
        <f t="shared" si="1"/>
        <v>1244.5555635151075</v>
      </c>
      <c r="U10">
        <f t="shared" si="21"/>
        <v>379.43767180338642</v>
      </c>
      <c r="V10">
        <f t="shared" si="22"/>
        <v>426.66014319730709</v>
      </c>
      <c r="W10">
        <f t="shared" si="23"/>
        <v>130.07931195039851</v>
      </c>
      <c r="Y10">
        <f t="shared" si="2"/>
        <v>0.46097294597471522</v>
      </c>
      <c r="Z10">
        <f t="shared" si="9"/>
        <v>0.34282128954713231</v>
      </c>
      <c r="AA10">
        <f t="shared" si="10"/>
        <v>0.79245410787027704</v>
      </c>
      <c r="AB10">
        <f t="shared" si="11"/>
        <v>0.81626013383188833</v>
      </c>
      <c r="AC10">
        <f t="shared" si="12"/>
        <v>0.99157894325104656</v>
      </c>
      <c r="AD10">
        <f t="shared" si="13"/>
        <v>0.79918408238086658</v>
      </c>
      <c r="AE10">
        <f t="shared" si="14"/>
        <v>1.2512761728447823</v>
      </c>
    </row>
    <row r="11" spans="2:31" x14ac:dyDescent="0.25">
      <c r="B11">
        <f t="shared" si="3"/>
        <v>50.384206228392827</v>
      </c>
      <c r="C11">
        <f t="shared" si="15"/>
        <v>15.361038484266107</v>
      </c>
      <c r="D11">
        <f t="shared" si="16"/>
        <v>0.35282128954713232</v>
      </c>
      <c r="E11">
        <f t="shared" si="0"/>
        <v>5.3088353517295135E-2</v>
      </c>
      <c r="F11">
        <f t="shared" si="4"/>
        <v>292.27474260004533</v>
      </c>
      <c r="G11" s="21">
        <f t="shared" si="17"/>
        <v>2015.1642042890885</v>
      </c>
      <c r="H11">
        <f t="shared" si="5"/>
        <v>318.54546697952469</v>
      </c>
      <c r="I11" s="21">
        <f t="shared" si="18"/>
        <v>2196.2945439117475</v>
      </c>
      <c r="J11">
        <f t="shared" si="6"/>
        <v>643.64543478685323</v>
      </c>
      <c r="K11">
        <f t="shared" si="7"/>
        <v>357.58079710380736</v>
      </c>
      <c r="L11">
        <f>J11-'Example 6.1'!$C$9</f>
        <v>183.97543478685321</v>
      </c>
      <c r="M11">
        <f>K11-'Example 6.1'!$C$10</f>
        <v>84.430797103807379</v>
      </c>
      <c r="N11">
        <f t="shared" si="19"/>
        <v>659.67000000000007</v>
      </c>
      <c r="O11">
        <f t="shared" si="19"/>
        <v>366.48333333333335</v>
      </c>
      <c r="P11">
        <f>N11-'Example 6.1'!$C$9</f>
        <v>200.00000000000006</v>
      </c>
      <c r="Q11">
        <f>O11-'Example 6.1'!$C$10</f>
        <v>93.333333333333371</v>
      </c>
      <c r="R11">
        <f t="shared" si="8"/>
        <v>1.2255985572335948</v>
      </c>
      <c r="S11">
        <f t="shared" si="20"/>
        <v>19.63220146510405</v>
      </c>
      <c r="T11">
        <f t="shared" si="1"/>
        <v>1243.7105418010644</v>
      </c>
      <c r="U11">
        <f t="shared" si="21"/>
        <v>379.18004323203184</v>
      </c>
      <c r="V11">
        <f t="shared" si="22"/>
        <v>438.80755718161419</v>
      </c>
      <c r="W11">
        <f t="shared" si="23"/>
        <v>133.78279182366288</v>
      </c>
      <c r="Y11">
        <f t="shared" si="2"/>
        <v>0.50384206228392825</v>
      </c>
      <c r="Z11">
        <f t="shared" si="9"/>
        <v>0.35282128954713232</v>
      </c>
      <c r="AA11">
        <f t="shared" si="10"/>
        <v>0.76947080594253903</v>
      </c>
      <c r="AB11">
        <f t="shared" si="11"/>
        <v>0.79636366744881171</v>
      </c>
      <c r="AC11">
        <f t="shared" si="12"/>
        <v>0.99023288638641049</v>
      </c>
      <c r="AD11">
        <f t="shared" si="13"/>
        <v>0.77706044357960735</v>
      </c>
      <c r="AE11">
        <f t="shared" si="14"/>
        <v>1.2869011777171402</v>
      </c>
    </row>
    <row r="12" spans="2:31" x14ac:dyDescent="0.25">
      <c r="B12">
        <f t="shared" si="3"/>
        <v>54.284581075367385</v>
      </c>
      <c r="C12">
        <f t="shared" si="15"/>
        <v>16.550177157124203</v>
      </c>
      <c r="D12">
        <f t="shared" si="16"/>
        <v>0.36282128954713233</v>
      </c>
      <c r="E12">
        <f t="shared" si="0"/>
        <v>5.4364951732258943E-2</v>
      </c>
      <c r="F12">
        <f t="shared" si="4"/>
        <v>284.0208801402793</v>
      </c>
      <c r="G12" s="21">
        <f t="shared" si="17"/>
        <v>1958.2558035559921</v>
      </c>
      <c r="H12">
        <f t="shared" si="5"/>
        <v>311.06537987241933</v>
      </c>
      <c r="I12" s="21">
        <f t="shared" si="18"/>
        <v>2144.7211385291616</v>
      </c>
      <c r="J12">
        <f t="shared" si="6"/>
        <v>642.74782672613674</v>
      </c>
      <c r="K12">
        <f t="shared" si="7"/>
        <v>357.08212595896487</v>
      </c>
      <c r="L12">
        <f>J12-'Example 6.1'!$C$9</f>
        <v>183.07782672613672</v>
      </c>
      <c r="M12">
        <f>K12-'Example 6.1'!$C$10</f>
        <v>83.932125958964889</v>
      </c>
      <c r="N12">
        <f t="shared" si="19"/>
        <v>659.67000000000007</v>
      </c>
      <c r="O12">
        <f t="shared" si="19"/>
        <v>366.48333333333335</v>
      </c>
      <c r="P12">
        <f>N12-'Example 6.1'!$C$9</f>
        <v>200.00000000000006</v>
      </c>
      <c r="Q12">
        <f>O12-'Example 6.1'!$C$10</f>
        <v>93.333333333333371</v>
      </c>
      <c r="R12">
        <f t="shared" si="8"/>
        <v>1.1926507884602224</v>
      </c>
      <c r="S12">
        <f t="shared" si="20"/>
        <v>19.104428948918535</v>
      </c>
      <c r="T12">
        <f t="shared" si="1"/>
        <v>1242.8430190698386</v>
      </c>
      <c r="U12">
        <f t="shared" si="21"/>
        <v>378.915554594463</v>
      </c>
      <c r="V12">
        <f t="shared" si="22"/>
        <v>450.92990688357003</v>
      </c>
      <c r="W12">
        <f t="shared" si="23"/>
        <v>137.4786301474299</v>
      </c>
      <c r="Y12">
        <f t="shared" si="2"/>
        <v>0.54284581075367389</v>
      </c>
      <c r="Z12">
        <f t="shared" si="9"/>
        <v>0.36282128954713233</v>
      </c>
      <c r="AA12">
        <f t="shared" si="10"/>
        <v>0.74774088791213977</v>
      </c>
      <c r="AB12">
        <f t="shared" si="11"/>
        <v>0.77766344968104828</v>
      </c>
      <c r="AC12">
        <f t="shared" si="12"/>
        <v>0.98885193816124151</v>
      </c>
      <c r="AD12">
        <f t="shared" si="13"/>
        <v>0.75617072592541523</v>
      </c>
      <c r="AE12">
        <f t="shared" si="14"/>
        <v>1.3224526759829034</v>
      </c>
    </row>
    <row r="13" spans="2:31" x14ac:dyDescent="0.25">
      <c r="B13">
        <f t="shared" si="3"/>
        <v>57.840419216521781</v>
      </c>
      <c r="C13">
        <f t="shared" si="15"/>
        <v>17.634274151378591</v>
      </c>
      <c r="D13">
        <f t="shared" si="16"/>
        <v>0.37282128954713234</v>
      </c>
      <c r="E13">
        <f t="shared" si="0"/>
        <v>5.5623786120766822E-2</v>
      </c>
      <c r="F13">
        <f t="shared" si="4"/>
        <v>276.20482449935997</v>
      </c>
      <c r="G13" s="21">
        <f t="shared" si="17"/>
        <v>1904.3659757652072</v>
      </c>
      <c r="H13">
        <f t="shared" si="5"/>
        <v>304.02558944162246</v>
      </c>
      <c r="I13" s="21">
        <f t="shared" si="18"/>
        <v>2096.1834730585206</v>
      </c>
      <c r="J13">
        <f t="shared" si="6"/>
        <v>641.82773903725717</v>
      </c>
      <c r="K13">
        <f t="shared" si="7"/>
        <v>356.57096613180954</v>
      </c>
      <c r="L13">
        <f>J13-'Example 6.1'!$C$9</f>
        <v>182.15773903725716</v>
      </c>
      <c r="M13">
        <f>K13-'Example 6.1'!$C$10</f>
        <v>83.420966131809564</v>
      </c>
      <c r="N13">
        <f t="shared" si="19"/>
        <v>659.67000000000007</v>
      </c>
      <c r="O13">
        <f t="shared" si="19"/>
        <v>366.48333333333335</v>
      </c>
      <c r="P13">
        <f>N13-'Example 6.1'!$C$9</f>
        <v>200.00000000000006</v>
      </c>
      <c r="Q13">
        <f>O13-'Example 6.1'!$C$10</f>
        <v>93.333333333333371</v>
      </c>
      <c r="R13">
        <f t="shared" si="8"/>
        <v>1.1614925403592746</v>
      </c>
      <c r="S13">
        <f t="shared" si="20"/>
        <v>18.605321798043427</v>
      </c>
      <c r="T13">
        <f t="shared" si="1"/>
        <v>1241.9531412336773</v>
      </c>
      <c r="U13">
        <f t="shared" si="21"/>
        <v>378.64425037612114</v>
      </c>
      <c r="V13">
        <f t="shared" si="22"/>
        <v>463.02657167185134</v>
      </c>
      <c r="W13">
        <f t="shared" si="23"/>
        <v>141.16663770483274</v>
      </c>
      <c r="Y13">
        <f t="shared" si="2"/>
        <v>0.57840419216521777</v>
      </c>
      <c r="Z13">
        <f t="shared" si="9"/>
        <v>0.37282128954713234</v>
      </c>
      <c r="AA13">
        <f t="shared" si="10"/>
        <v>0.72716358253224955</v>
      </c>
      <c r="AB13">
        <f t="shared" si="11"/>
        <v>0.7600639736040562</v>
      </c>
      <c r="AC13">
        <f t="shared" si="12"/>
        <v>0.98743640557350632</v>
      </c>
      <c r="AD13">
        <f t="shared" si="13"/>
        <v>0.73641560958035635</v>
      </c>
      <c r="AE13">
        <f t="shared" si="14"/>
        <v>1.3579288475020865</v>
      </c>
    </row>
    <row r="14" spans="2:31" x14ac:dyDescent="0.25">
      <c r="B14">
        <f t="shared" si="3"/>
        <v>61.08825298397386</v>
      </c>
      <c r="C14">
        <f t="shared" si="15"/>
        <v>18.624467373162762</v>
      </c>
      <c r="D14">
        <f t="shared" si="16"/>
        <v>0.38282128954713235</v>
      </c>
      <c r="E14">
        <f t="shared" si="0"/>
        <v>5.6864543826532235E-2</v>
      </c>
      <c r="F14">
        <f t="shared" si="4"/>
        <v>268.79229899974916</v>
      </c>
      <c r="G14" s="21">
        <f t="shared" si="17"/>
        <v>1853.2583914515105</v>
      </c>
      <c r="H14">
        <f t="shared" si="5"/>
        <v>297.39189351327212</v>
      </c>
      <c r="I14" s="21">
        <f t="shared" si="18"/>
        <v>2050.4457317195679</v>
      </c>
      <c r="J14">
        <f t="shared" si="6"/>
        <v>640.88537538312016</v>
      </c>
      <c r="K14">
        <f t="shared" si="7"/>
        <v>356.04743076840009</v>
      </c>
      <c r="L14">
        <f>J14-'Example 6.1'!$C$9</f>
        <v>181.21537538312015</v>
      </c>
      <c r="M14">
        <f>K14-'Example 6.1'!$C$10</f>
        <v>82.897430768400113</v>
      </c>
      <c r="N14">
        <f t="shared" si="19"/>
        <v>659.67000000000007</v>
      </c>
      <c r="O14">
        <f t="shared" si="19"/>
        <v>366.48333333333335</v>
      </c>
      <c r="P14">
        <f>N14-'Example 6.1'!$C$9</f>
        <v>200.00000000000006</v>
      </c>
      <c r="Q14">
        <f>O14-'Example 6.1'!$C$10</f>
        <v>93.333333333333371</v>
      </c>
      <c r="R14">
        <f t="shared" si="8"/>
        <v>1.1319835300970817</v>
      </c>
      <c r="S14">
        <f t="shared" si="20"/>
        <v>18.132632897518903</v>
      </c>
      <c r="T14">
        <f t="shared" si="1"/>
        <v>1241.0410573952713</v>
      </c>
      <c r="U14">
        <f t="shared" si="21"/>
        <v>378.36617603514372</v>
      </c>
      <c r="V14">
        <f t="shared" si="22"/>
        <v>475.09693797299445</v>
      </c>
      <c r="W14">
        <f t="shared" si="23"/>
        <v>144.84662743079099</v>
      </c>
      <c r="Y14">
        <f t="shared" si="2"/>
        <v>0.61088252983973856</v>
      </c>
      <c r="Z14">
        <f t="shared" si="9"/>
        <v>0.38282128954713235</v>
      </c>
      <c r="AA14">
        <f t="shared" si="10"/>
        <v>0.70764864970050556</v>
      </c>
      <c r="AB14">
        <f t="shared" si="11"/>
        <v>0.74347973378318033</v>
      </c>
      <c r="AC14">
        <f t="shared" si="12"/>
        <v>0.98598660195364407</v>
      </c>
      <c r="AD14">
        <f t="shared" si="13"/>
        <v>0.71770615168437712</v>
      </c>
      <c r="AE14">
        <f t="shared" si="14"/>
        <v>1.3933278928334534</v>
      </c>
    </row>
    <row r="15" spans="2:31" x14ac:dyDescent="0.25">
      <c r="B15">
        <f t="shared" si="3"/>
        <v>64.059975446761854</v>
      </c>
      <c r="C15">
        <f t="shared" si="15"/>
        <v>19.530480319134714</v>
      </c>
      <c r="D15">
        <f t="shared" si="16"/>
        <v>0.39282128954713236</v>
      </c>
      <c r="E15">
        <f t="shared" si="0"/>
        <v>5.8086924509966019E-2</v>
      </c>
      <c r="F15">
        <f t="shared" si="4"/>
        <v>261.75251793074528</v>
      </c>
      <c r="G15" s="21">
        <f t="shared" si="17"/>
        <v>1804.7207905281853</v>
      </c>
      <c r="H15">
        <f t="shared" si="5"/>
        <v>291.13358135253702</v>
      </c>
      <c r="I15" s="21">
        <f t="shared" si="18"/>
        <v>2007.296171366218</v>
      </c>
      <c r="J15">
        <f t="shared" si="6"/>
        <v>639.92094343430131</v>
      </c>
      <c r="K15">
        <f t="shared" si="7"/>
        <v>355.5116352412785</v>
      </c>
      <c r="L15">
        <f>J15-'Example 6.1'!$C$9</f>
        <v>180.25094343430129</v>
      </c>
      <c r="M15">
        <f>K15-'Example 6.1'!$C$10</f>
        <v>82.36163524127852</v>
      </c>
      <c r="N15">
        <f t="shared" si="19"/>
        <v>659.67000000000007</v>
      </c>
      <c r="O15">
        <f t="shared" si="19"/>
        <v>366.48333333333335</v>
      </c>
      <c r="P15">
        <f>N15-'Example 6.1'!$C$9</f>
        <v>200.00000000000006</v>
      </c>
      <c r="Q15">
        <f>O15-'Example 6.1'!$C$10</f>
        <v>93.333333333333371</v>
      </c>
      <c r="R15">
        <f t="shared" si="8"/>
        <v>1.1039977584331335</v>
      </c>
      <c r="S15">
        <f t="shared" si="20"/>
        <v>17.684343933550814</v>
      </c>
      <c r="T15">
        <f t="shared" si="1"/>
        <v>1240.1069197809545</v>
      </c>
      <c r="U15">
        <f t="shared" si="21"/>
        <v>378.08137798199834</v>
      </c>
      <c r="V15">
        <f t="shared" si="22"/>
        <v>487.14039940467677</v>
      </c>
      <c r="W15">
        <f t="shared" si="23"/>
        <v>148.51841445264537</v>
      </c>
      <c r="Y15">
        <f t="shared" si="2"/>
        <v>0.64059975446761852</v>
      </c>
      <c r="Z15">
        <f t="shared" si="9"/>
        <v>0.39282128954713236</v>
      </c>
      <c r="AA15">
        <f t="shared" si="10"/>
        <v>0.68911503997207946</v>
      </c>
      <c r="AB15">
        <f t="shared" si="11"/>
        <v>0.7278339533813426</v>
      </c>
      <c r="AC15">
        <f t="shared" si="12"/>
        <v>0.98450284679779743</v>
      </c>
      <c r="AD15">
        <f t="shared" si="13"/>
        <v>0.69996246553628683</v>
      </c>
      <c r="AE15">
        <f t="shared" si="14"/>
        <v>1.4286480336253959</v>
      </c>
    </row>
    <row r="16" spans="2:31" x14ac:dyDescent="0.25">
      <c r="B16">
        <f t="shared" si="3"/>
        <v>66.783526338530862</v>
      </c>
      <c r="C16">
        <f t="shared" si="15"/>
        <v>20.360831200771607</v>
      </c>
      <c r="D16">
        <f t="shared" si="16"/>
        <v>0.40282128954713237</v>
      </c>
      <c r="E16">
        <f t="shared" si="0"/>
        <v>5.9290640452480808E-2</v>
      </c>
      <c r="F16">
        <f t="shared" si="4"/>
        <v>255.05775321994238</v>
      </c>
      <c r="G16" s="21">
        <f t="shared" si="17"/>
        <v>1758.5619945907299</v>
      </c>
      <c r="H16">
        <f t="shared" si="5"/>
        <v>285.22300034681592</v>
      </c>
      <c r="I16" s="21">
        <f t="shared" si="18"/>
        <v>1966.5441338712126</v>
      </c>
      <c r="J16">
        <f t="shared" si="6"/>
        <v>638.9346547592578</v>
      </c>
      <c r="K16">
        <f t="shared" si="7"/>
        <v>354.96369708847652</v>
      </c>
      <c r="L16">
        <f>J16-'Example 6.1'!$C$9</f>
        <v>179.26465475925778</v>
      </c>
      <c r="M16">
        <f>K16-'Example 6.1'!$C$10</f>
        <v>81.813697088476545</v>
      </c>
      <c r="N16">
        <f t="shared" si="19"/>
        <v>659.67000000000007</v>
      </c>
      <c r="O16">
        <f t="shared" si="19"/>
        <v>366.48333333333335</v>
      </c>
      <c r="P16">
        <f>N16-'Example 6.1'!$C$9</f>
        <v>200.00000000000006</v>
      </c>
      <c r="Q16">
        <f>O16-'Example 6.1'!$C$10</f>
        <v>93.333333333333371</v>
      </c>
      <c r="R16">
        <f t="shared" si="8"/>
        <v>1.0774217367881302</v>
      </c>
      <c r="S16">
        <f t="shared" si="20"/>
        <v>17.258636993871193</v>
      </c>
      <c r="T16">
        <f t="shared" si="1"/>
        <v>1239.1508836729217</v>
      </c>
      <c r="U16">
        <f t="shared" si="21"/>
        <v>377.78990355881763</v>
      </c>
      <c r="V16">
        <f t="shared" si="22"/>
        <v>499.15635690459493</v>
      </c>
      <c r="W16">
        <f t="shared" si="23"/>
        <v>152.18181612944969</v>
      </c>
      <c r="Y16">
        <f t="shared" si="2"/>
        <v>0.66783526338530863</v>
      </c>
      <c r="Z16">
        <f t="shared" si="9"/>
        <v>0.40282128954713237</v>
      </c>
      <c r="AA16">
        <f t="shared" si="10"/>
        <v>0.67148975373697539</v>
      </c>
      <c r="AB16">
        <f t="shared" si="11"/>
        <v>0.71305750086703978</v>
      </c>
      <c r="AC16">
        <f t="shared" si="12"/>
        <v>0.98298546559890498</v>
      </c>
      <c r="AD16">
        <f t="shared" si="13"/>
        <v>0.68311259651011802</v>
      </c>
      <c r="AE16">
        <f t="shared" si="14"/>
        <v>1.4638875129938969</v>
      </c>
    </row>
    <row r="17" spans="2:31" x14ac:dyDescent="0.25">
      <c r="B17">
        <f t="shared" si="3"/>
        <v>69.283462762120763</v>
      </c>
      <c r="C17">
        <f t="shared" si="15"/>
        <v>21.123006939670965</v>
      </c>
      <c r="D17">
        <f t="shared" si="16"/>
        <v>0.41282128954713238</v>
      </c>
      <c r="E17">
        <f t="shared" si="0"/>
        <v>6.0475416646400756E-2</v>
      </c>
      <c r="F17">
        <f t="shared" si="4"/>
        <v>248.68296408505327</v>
      </c>
      <c r="G17" s="21">
        <f t="shared" si="17"/>
        <v>1714.6093534550619</v>
      </c>
      <c r="H17">
        <f t="shared" si="5"/>
        <v>279.63518566923915</v>
      </c>
      <c r="I17" s="21">
        <f t="shared" si="18"/>
        <v>1928.0174927448434</v>
      </c>
      <c r="J17">
        <f t="shared" si="6"/>
        <v>637.92672471325295</v>
      </c>
      <c r="K17">
        <f t="shared" si="7"/>
        <v>354.40373595180716</v>
      </c>
      <c r="L17">
        <f>J17-'Example 6.1'!$C$9</f>
        <v>178.25672471325294</v>
      </c>
      <c r="M17">
        <f>K17-'Example 6.1'!$C$10</f>
        <v>81.253735951807187</v>
      </c>
      <c r="N17">
        <f t="shared" si="19"/>
        <v>659.67000000000007</v>
      </c>
      <c r="O17">
        <f t="shared" si="19"/>
        <v>366.48333333333335</v>
      </c>
      <c r="P17">
        <f>N17-'Example 6.1'!$C$9</f>
        <v>200.00000000000006</v>
      </c>
      <c r="Q17">
        <f>O17-'Example 6.1'!$C$10</f>
        <v>93.333333333333371</v>
      </c>
      <c r="R17">
        <f t="shared" si="8"/>
        <v>1.0521529719925453</v>
      </c>
      <c r="S17">
        <f t="shared" si="20"/>
        <v>16.853870295743707</v>
      </c>
      <c r="T17">
        <f t="shared" si="1"/>
        <v>1238.1731073405206</v>
      </c>
      <c r="U17">
        <f t="shared" si="21"/>
        <v>377.49180101845144</v>
      </c>
      <c r="V17">
        <f t="shared" si="22"/>
        <v>511.14421885489367</v>
      </c>
      <c r="W17">
        <f t="shared" si="23"/>
        <v>155.83665208990661</v>
      </c>
      <c r="Y17">
        <f t="shared" si="2"/>
        <v>0.69283462762120762</v>
      </c>
      <c r="Z17">
        <f t="shared" si="9"/>
        <v>0.41282128954713238</v>
      </c>
      <c r="AA17">
        <f t="shared" si="10"/>
        <v>0.65470686620553631</v>
      </c>
      <c r="AB17">
        <f t="shared" si="11"/>
        <v>0.69908796417309782</v>
      </c>
      <c r="AC17">
        <f t="shared" si="12"/>
        <v>0.98143478967581466</v>
      </c>
      <c r="AD17">
        <f t="shared" si="13"/>
        <v>0.66709156134744074</v>
      </c>
      <c r="AE17">
        <f t="shared" si="14"/>
        <v>1.4990445958874461</v>
      </c>
    </row>
    <row r="18" spans="2:31" x14ac:dyDescent="0.25">
      <c r="B18">
        <f t="shared" si="3"/>
        <v>71.581436249194041</v>
      </c>
      <c r="C18">
        <f t="shared" si="15"/>
        <v>21.823608612559159</v>
      </c>
      <c r="D18">
        <f t="shared" si="16"/>
        <v>0.42282128954713238</v>
      </c>
      <c r="E18">
        <f t="shared" si="0"/>
        <v>6.1640990870549105E-2</v>
      </c>
      <c r="F18">
        <f t="shared" si="4"/>
        <v>242.60547923942318</v>
      </c>
      <c r="G18" s="21">
        <f t="shared" si="17"/>
        <v>1672.7065540408053</v>
      </c>
      <c r="H18">
        <f t="shared" si="5"/>
        <v>274.34754249579481</v>
      </c>
      <c r="I18" s="21">
        <f t="shared" si="18"/>
        <v>1891.5604620983063</v>
      </c>
      <c r="J18">
        <f t="shared" si="6"/>
        <v>636.89737232609855</v>
      </c>
      <c r="K18">
        <f t="shared" si="7"/>
        <v>353.83187351449919</v>
      </c>
      <c r="L18">
        <f>J18-'Example 6.1'!$C$9</f>
        <v>177.22737232609853</v>
      </c>
      <c r="M18">
        <f>K18-'Example 6.1'!$C$10</f>
        <v>80.681873514499216</v>
      </c>
      <c r="N18">
        <f t="shared" si="19"/>
        <v>659.67000000000007</v>
      </c>
      <c r="O18">
        <f t="shared" si="19"/>
        <v>366.48333333333335</v>
      </c>
      <c r="P18">
        <f>N18-'Example 6.1'!$C$9</f>
        <v>200.00000000000006</v>
      </c>
      <c r="Q18">
        <f>O18-'Example 6.1'!$C$10</f>
        <v>93.333333333333371</v>
      </c>
      <c r="R18">
        <f t="shared" si="8"/>
        <v>1.0280986660555111</v>
      </c>
      <c r="S18">
        <f t="shared" si="20"/>
        <v>16.468557358263563</v>
      </c>
      <c r="T18">
        <f t="shared" si="1"/>
        <v>1237.1737519706737</v>
      </c>
      <c r="U18">
        <f t="shared" si="21"/>
        <v>377.18711950325422</v>
      </c>
      <c r="V18">
        <f t="shared" si="22"/>
        <v>523.10340120210435</v>
      </c>
      <c r="W18">
        <f t="shared" si="23"/>
        <v>159.48274426893425</v>
      </c>
      <c r="Y18">
        <f t="shared" si="2"/>
        <v>0.71581436249194041</v>
      </c>
      <c r="Z18">
        <f t="shared" si="9"/>
        <v>0.42282128954713238</v>
      </c>
      <c r="AA18">
        <f t="shared" si="10"/>
        <v>0.63870669075188824</v>
      </c>
      <c r="AB18">
        <f t="shared" si="11"/>
        <v>0.68586885623948701</v>
      </c>
      <c r="AC18">
        <f t="shared" si="12"/>
        <v>0.97985115600057826</v>
      </c>
      <c r="AD18">
        <f t="shared" si="13"/>
        <v>0.65184052377799229</v>
      </c>
      <c r="AE18">
        <f t="shared" si="14"/>
        <v>1.5341175694387876</v>
      </c>
    </row>
    <row r="19" spans="2:31" x14ac:dyDescent="0.25">
      <c r="B19">
        <f t="shared" si="3"/>
        <v>73.696593313712796</v>
      </c>
      <c r="C19">
        <f t="shared" si="15"/>
        <v>22.468473571253902</v>
      </c>
      <c r="D19">
        <f t="shared" si="16"/>
        <v>0.43282128954713239</v>
      </c>
      <c r="E19">
        <f t="shared" si="0"/>
        <v>6.2787113751609155E-2</v>
      </c>
      <c r="F19">
        <f t="shared" si="4"/>
        <v>236.80472315175621</v>
      </c>
      <c r="G19" s="21">
        <f t="shared" si="17"/>
        <v>1632.7117329978025</v>
      </c>
      <c r="H19">
        <f t="shared" si="5"/>
        <v>269.33957227660369</v>
      </c>
      <c r="I19" s="21">
        <f t="shared" si="18"/>
        <v>1857.0317093498361</v>
      </c>
      <c r="J19">
        <f t="shared" si="6"/>
        <v>635.84682018881813</v>
      </c>
      <c r="K19">
        <f t="shared" si="7"/>
        <v>353.24823343823226</v>
      </c>
      <c r="L19">
        <f>J19-'Example 6.1'!$C$9</f>
        <v>176.17682018881811</v>
      </c>
      <c r="M19">
        <f>K19-'Example 6.1'!$C$10</f>
        <v>80.098233438232285</v>
      </c>
      <c r="N19">
        <f t="shared" si="19"/>
        <v>659.67000000000007</v>
      </c>
      <c r="O19">
        <f t="shared" si="19"/>
        <v>366.48333333333335</v>
      </c>
      <c r="P19">
        <f>N19-'Example 6.1'!$C$9</f>
        <v>200.00000000000006</v>
      </c>
      <c r="Q19">
        <f>O19-'Example 6.1'!$C$10</f>
        <v>93.333333333333371</v>
      </c>
      <c r="R19">
        <f t="shared" si="8"/>
        <v>1.0051745961788727</v>
      </c>
      <c r="S19">
        <f t="shared" si="20"/>
        <v>16.101349061907428</v>
      </c>
      <c r="T19">
        <f t="shared" si="1"/>
        <v>1236.1529815974895</v>
      </c>
      <c r="U19">
        <f t="shared" si="21"/>
        <v>376.8759090236249</v>
      </c>
      <c r="V19">
        <f t="shared" si="22"/>
        <v>535.03332757255805</v>
      </c>
      <c r="W19">
        <f t="shared" si="23"/>
        <v>163.11991694285308</v>
      </c>
      <c r="Y19">
        <f t="shared" si="2"/>
        <v>0.73696593313712799</v>
      </c>
      <c r="Z19">
        <f t="shared" si="9"/>
        <v>0.43282128954713239</v>
      </c>
      <c r="AA19">
        <f t="shared" si="10"/>
        <v>0.6234350582387731</v>
      </c>
      <c r="AB19">
        <f t="shared" si="11"/>
        <v>0.67334893069150925</v>
      </c>
      <c r="AC19">
        <f t="shared" si="12"/>
        <v>0.97823490702408522</v>
      </c>
      <c r="AD19">
        <f t="shared" si="13"/>
        <v>0.63730608442029701</v>
      </c>
      <c r="AE19">
        <f t="shared" si="14"/>
        <v>1.5691047433033922</v>
      </c>
    </row>
    <row r="20" spans="2:31" x14ac:dyDescent="0.25">
      <c r="B20">
        <f t="shared" si="3"/>
        <v>75.64591319047075</v>
      </c>
      <c r="C20">
        <f t="shared" si="15"/>
        <v>23.062778411728889</v>
      </c>
      <c r="D20">
        <f t="shared" si="16"/>
        <v>0.4428212895471324</v>
      </c>
      <c r="E20">
        <f t="shared" si="0"/>
        <v>6.3913548811376647E-2</v>
      </c>
      <c r="F20">
        <f t="shared" si="4"/>
        <v>231.26197939609619</v>
      </c>
      <c r="G20" s="21">
        <f t="shared" si="17"/>
        <v>1594.4958450610281</v>
      </c>
      <c r="H20">
        <f t="shared" si="5"/>
        <v>264.59263609738241</v>
      </c>
      <c r="I20" s="21">
        <f t="shared" si="18"/>
        <v>1824.3027236587882</v>
      </c>
      <c r="J20">
        <f t="shared" si="6"/>
        <v>634.77529433933501</v>
      </c>
      <c r="K20">
        <f t="shared" si="7"/>
        <v>352.65294129963053</v>
      </c>
      <c r="L20">
        <f>J20-'Example 6.1'!$C$9</f>
        <v>175.10529433933499</v>
      </c>
      <c r="M20">
        <f>K20-'Example 6.1'!$C$10</f>
        <v>79.50294129963055</v>
      </c>
      <c r="N20">
        <f t="shared" si="19"/>
        <v>659.67000000000007</v>
      </c>
      <c r="O20">
        <f t="shared" si="19"/>
        <v>366.48333333333335</v>
      </c>
      <c r="P20">
        <f>N20-'Example 6.1'!$C$9</f>
        <v>200.00000000000006</v>
      </c>
      <c r="Q20">
        <f>O20-'Example 6.1'!$C$10</f>
        <v>93.333333333333371</v>
      </c>
      <c r="R20">
        <f t="shared" si="8"/>
        <v>0.9833041465237321</v>
      </c>
      <c r="S20">
        <f t="shared" si="20"/>
        <v>15.751018138924543</v>
      </c>
      <c r="T20">
        <f t="shared" si="1"/>
        <v>1235.1109630311171</v>
      </c>
      <c r="U20">
        <f t="shared" si="21"/>
        <v>376.55822043631622</v>
      </c>
      <c r="V20">
        <f t="shared" si="22"/>
        <v>546.93342938323985</v>
      </c>
      <c r="W20">
        <f t="shared" si="23"/>
        <v>166.7479967631829</v>
      </c>
      <c r="Y20">
        <f t="shared" si="2"/>
        <v>0.75645913190470748</v>
      </c>
      <c r="Z20">
        <f t="shared" si="9"/>
        <v>0.4428212895471324</v>
      </c>
      <c r="AA20">
        <f t="shared" si="10"/>
        <v>0.60884269398977964</v>
      </c>
      <c r="AB20">
        <f t="shared" si="11"/>
        <v>0.66148159024345599</v>
      </c>
      <c r="AC20">
        <f t="shared" si="12"/>
        <v>0.97658639050019713</v>
      </c>
      <c r="AD20">
        <f t="shared" si="13"/>
        <v>0.62343966689719776</v>
      </c>
      <c r="AE20">
        <f t="shared" si="14"/>
        <v>1.6040044499845652</v>
      </c>
    </row>
    <row r="21" spans="2:31" x14ac:dyDescent="0.25">
      <c r="B21">
        <f t="shared" si="3"/>
        <v>77.4444937556936</v>
      </c>
      <c r="C21">
        <f t="shared" si="15"/>
        <v>23.611126145028539</v>
      </c>
      <c r="D21">
        <f t="shared" si="16"/>
        <v>0.45282128954713241</v>
      </c>
      <c r="E21">
        <f t="shared" si="0"/>
        <v>6.5020072500043657E-2</v>
      </c>
      <c r="F21">
        <f t="shared" si="4"/>
        <v>225.96018535842302</v>
      </c>
      <c r="G21" s="21">
        <f t="shared" si="17"/>
        <v>1557.9412476018406</v>
      </c>
      <c r="H21">
        <f t="shared" si="5"/>
        <v>260.08974939745741</v>
      </c>
      <c r="I21" s="21">
        <f t="shared" si="18"/>
        <v>1793.2564005556135</v>
      </c>
      <c r="J21">
        <f t="shared" si="6"/>
        <v>633.68302414728691</v>
      </c>
      <c r="K21">
        <f t="shared" si="7"/>
        <v>352.04612452627049</v>
      </c>
      <c r="L21">
        <f>J21-'Example 6.1'!$C$9</f>
        <v>174.0130241472869</v>
      </c>
      <c r="M21">
        <f>K21-'Example 6.1'!$C$10</f>
        <v>78.896124526270512</v>
      </c>
      <c r="N21">
        <f t="shared" ref="N21:O36" si="24">N20</f>
        <v>659.67000000000007</v>
      </c>
      <c r="O21">
        <f t="shared" si="24"/>
        <v>366.48333333333335</v>
      </c>
      <c r="P21">
        <f>N21-'Example 6.1'!$C$9</f>
        <v>200.00000000000006</v>
      </c>
      <c r="Q21">
        <f>O21-'Example 6.1'!$C$10</f>
        <v>93.333333333333371</v>
      </c>
      <c r="R21">
        <f t="shared" si="8"/>
        <v>0.96241746827061059</v>
      </c>
      <c r="S21">
        <f t="shared" si="20"/>
        <v>15.416445718794046</v>
      </c>
      <c r="T21">
        <f t="shared" si="1"/>
        <v>1234.0478657859046</v>
      </c>
      <c r="U21">
        <f t="shared" si="21"/>
        <v>376.23410542253191</v>
      </c>
      <c r="V21">
        <f t="shared" si="22"/>
        <v>558.80314594805986</v>
      </c>
      <c r="W21">
        <f t="shared" si="23"/>
        <v>170.36681278904265</v>
      </c>
      <c r="Y21">
        <f t="shared" si="2"/>
        <v>0.774444937556936</v>
      </c>
      <c r="Z21">
        <f t="shared" si="9"/>
        <v>0.45282128954713241</v>
      </c>
      <c r="AA21">
        <f t="shared" si="10"/>
        <v>0.59488467731403727</v>
      </c>
      <c r="AB21">
        <f t="shared" si="11"/>
        <v>0.65022437349364348</v>
      </c>
      <c r="AC21">
        <f t="shared" si="12"/>
        <v>0.97490595930853674</v>
      </c>
      <c r="AD21">
        <f t="shared" si="13"/>
        <v>0.61019698529278255</v>
      </c>
      <c r="AE21">
        <f t="shared" si="14"/>
        <v>1.6388150451451069</v>
      </c>
    </row>
    <row r="22" spans="2:31" x14ac:dyDescent="0.25">
      <c r="B22">
        <f t="shared" si="3"/>
        <v>79.105794508752069</v>
      </c>
      <c r="C22">
        <f t="shared" si="15"/>
        <v>24.11762027705856</v>
      </c>
      <c r="D22">
        <f t="shared" si="16"/>
        <v>0.46282128954713242</v>
      </c>
      <c r="E22">
        <f t="shared" si="0"/>
        <v>6.6106474215675531E-2</v>
      </c>
      <c r="F22">
        <f t="shared" si="4"/>
        <v>220.88375355730403</v>
      </c>
      <c r="G22" s="21">
        <f t="shared" si="17"/>
        <v>1522.9404686767575</v>
      </c>
      <c r="H22">
        <f t="shared" si="5"/>
        <v>255.81540330176657</v>
      </c>
      <c r="I22" s="21">
        <f t="shared" si="18"/>
        <v>1763.7858100688879</v>
      </c>
      <c r="J22">
        <f t="shared" si="6"/>
        <v>632.57024219807215</v>
      </c>
      <c r="K22">
        <f t="shared" si="7"/>
        <v>351.42791233226228</v>
      </c>
      <c r="L22">
        <f>J22-'Example 6.1'!$C$9</f>
        <v>172.90024219807214</v>
      </c>
      <c r="M22">
        <f>K22-'Example 6.1'!$C$10</f>
        <v>78.277912332262304</v>
      </c>
      <c r="N22">
        <f t="shared" si="24"/>
        <v>659.67000000000007</v>
      </c>
      <c r="O22">
        <f t="shared" si="24"/>
        <v>366.48333333333335</v>
      </c>
      <c r="P22">
        <f>N22-'Example 6.1'!$C$9</f>
        <v>200.00000000000006</v>
      </c>
      <c r="Q22">
        <f>O22-'Example 6.1'!$C$10</f>
        <v>93.333333333333371</v>
      </c>
      <c r="R22">
        <f t="shared" si="8"/>
        <v>0.94245074856928857</v>
      </c>
      <c r="S22">
        <f t="shared" si="20"/>
        <v>15.096609617927207</v>
      </c>
      <c r="T22">
        <f t="shared" si="1"/>
        <v>1232.9638620079152</v>
      </c>
      <c r="U22">
        <f t="shared" si="21"/>
        <v>375.90361646582784</v>
      </c>
      <c r="V22">
        <f t="shared" si="22"/>
        <v>570.64192457951594</v>
      </c>
      <c r="W22">
        <f t="shared" si="23"/>
        <v>173.97619651814512</v>
      </c>
      <c r="Y22">
        <f t="shared" si="2"/>
        <v>0.7910579450875207</v>
      </c>
      <c r="Z22">
        <f t="shared" si="9"/>
        <v>0.46282128954713242</v>
      </c>
      <c r="AA22">
        <f t="shared" si="10"/>
        <v>0.58151997109765152</v>
      </c>
      <c r="AB22">
        <f t="shared" si="11"/>
        <v>0.63953850825441638</v>
      </c>
      <c r="AC22">
        <f t="shared" si="12"/>
        <v>0.97319397127609686</v>
      </c>
      <c r="AD22">
        <f t="shared" si="13"/>
        <v>0.59753758064811646</v>
      </c>
      <c r="AE22">
        <f t="shared" si="14"/>
        <v>1.6735349079054644</v>
      </c>
    </row>
    <row r="23" spans="2:31" x14ac:dyDescent="0.25">
      <c r="B23">
        <f t="shared" si="3"/>
        <v>80.641843819602428</v>
      </c>
      <c r="C23">
        <f t="shared" si="15"/>
        <v>24.58592799378123</v>
      </c>
      <c r="D23">
        <f t="shared" si="16"/>
        <v>0.47282128954713243</v>
      </c>
      <c r="E23">
        <f t="shared" si="0"/>
        <v>6.7172556310062512E-2</v>
      </c>
      <c r="F23">
        <f t="shared" si="4"/>
        <v>216.01841563846571</v>
      </c>
      <c r="G23" s="21">
        <f t="shared" si="17"/>
        <v>1489.3951314074677</v>
      </c>
      <c r="H23">
        <f t="shared" si="5"/>
        <v>251.75540862671585</v>
      </c>
      <c r="I23" s="21">
        <f t="shared" si="18"/>
        <v>1735.7931211831353</v>
      </c>
      <c r="J23">
        <f t="shared" si="6"/>
        <v>631.43718417622847</v>
      </c>
      <c r="K23">
        <f t="shared" si="7"/>
        <v>350.79843565346027</v>
      </c>
      <c r="L23">
        <f>J23-'Example 6.1'!$C$9</f>
        <v>171.76718417622845</v>
      </c>
      <c r="M23">
        <f>K23-'Example 6.1'!$C$10</f>
        <v>77.648435653460297</v>
      </c>
      <c r="N23">
        <f t="shared" si="24"/>
        <v>659.67000000000007</v>
      </c>
      <c r="O23">
        <f t="shared" si="24"/>
        <v>366.48333333333335</v>
      </c>
      <c r="P23">
        <f>N23-'Example 6.1'!$C$9</f>
        <v>200.00000000000006</v>
      </c>
      <c r="Q23">
        <f>O23-'Example 6.1'!$C$10</f>
        <v>93.333333333333371</v>
      </c>
      <c r="R23">
        <f t="shared" si="8"/>
        <v>0.92334557225747049</v>
      </c>
      <c r="S23">
        <f t="shared" si="20"/>
        <v>14.790574115383402</v>
      </c>
      <c r="T23">
        <f t="shared" si="1"/>
        <v>1231.8591264018598</v>
      </c>
      <c r="U23">
        <f t="shared" si="21"/>
        <v>375.56680682983534</v>
      </c>
      <c r="V23">
        <f t="shared" si="22"/>
        <v>582.44922068573135</v>
      </c>
      <c r="W23">
        <f t="shared" si="23"/>
        <v>177.57598191638152</v>
      </c>
      <c r="Y23">
        <f t="shared" si="2"/>
        <v>0.80641843819602432</v>
      </c>
      <c r="Z23">
        <f t="shared" si="9"/>
        <v>0.47282128954713243</v>
      </c>
      <c r="AA23">
        <f t="shared" si="10"/>
        <v>0.56871101108869748</v>
      </c>
      <c r="AB23">
        <f t="shared" si="11"/>
        <v>0.62938852156678959</v>
      </c>
      <c r="AC23">
        <f t="shared" si="12"/>
        <v>0.97145078899782111</v>
      </c>
      <c r="AD23">
        <f t="shared" si="13"/>
        <v>0.58542441627475283</v>
      </c>
      <c r="AE23">
        <f t="shared" si="14"/>
        <v>1.7081624411283136</v>
      </c>
    </row>
    <row r="24" spans="2:31" x14ac:dyDescent="0.25">
      <c r="B24">
        <f t="shared" si="3"/>
        <v>82.063416315625474</v>
      </c>
      <c r="C24">
        <f t="shared" si="15"/>
        <v>25.019334242568743</v>
      </c>
      <c r="D24">
        <f t="shared" si="16"/>
        <v>0.48282128954713244</v>
      </c>
      <c r="E24">
        <f t="shared" si="0"/>
        <v>6.8218134081147977E-2</v>
      </c>
      <c r="F24">
        <f t="shared" si="4"/>
        <v>211.35108575600455</v>
      </c>
      <c r="G24" s="21">
        <f t="shared" si="17"/>
        <v>1457.2150120270699</v>
      </c>
      <c r="H24">
        <f t="shared" si="5"/>
        <v>247.89675927260845</v>
      </c>
      <c r="I24" s="21">
        <f t="shared" si="18"/>
        <v>1709.1886599624097</v>
      </c>
      <c r="J24">
        <f t="shared" si="6"/>
        <v>630.28408874824538</v>
      </c>
      <c r="K24">
        <f t="shared" si="7"/>
        <v>350.15782708235855</v>
      </c>
      <c r="L24">
        <f>J24-'Example 6.1'!$C$9</f>
        <v>170.61408874824536</v>
      </c>
      <c r="M24">
        <f>K24-'Example 6.1'!$C$10</f>
        <v>77.007827082358574</v>
      </c>
      <c r="N24">
        <f t="shared" si="24"/>
        <v>659.67000000000007</v>
      </c>
      <c r="O24">
        <f t="shared" si="24"/>
        <v>366.48333333333335</v>
      </c>
      <c r="P24">
        <f>N24-'Example 6.1'!$C$9</f>
        <v>200.00000000000006</v>
      </c>
      <c r="Q24">
        <f>O24-'Example 6.1'!$C$10</f>
        <v>93.333333333333371</v>
      </c>
      <c r="R24">
        <f t="shared" si="8"/>
        <v>0.90504836289854074</v>
      </c>
      <c r="S24">
        <f t="shared" si="20"/>
        <v>14.49748099915576</v>
      </c>
      <c r="T24">
        <f t="shared" si="1"/>
        <v>1230.733836157503</v>
      </c>
      <c r="U24">
        <f t="shared" si="21"/>
        <v>375.22373053582413</v>
      </c>
      <c r="V24">
        <f t="shared" si="22"/>
        <v>594.22449786285483</v>
      </c>
      <c r="W24">
        <f t="shared" si="23"/>
        <v>181.16600544599234</v>
      </c>
      <c r="Y24">
        <f t="shared" si="2"/>
        <v>0.8206341631562547</v>
      </c>
      <c r="Z24">
        <f t="shared" si="9"/>
        <v>0.48282128954713244</v>
      </c>
      <c r="AA24">
        <f t="shared" si="10"/>
        <v>0.55642334622135869</v>
      </c>
      <c r="AB24">
        <f t="shared" si="11"/>
        <v>0.61974189818152114</v>
      </c>
      <c r="AC24">
        <f t="shared" si="12"/>
        <v>0.96967677965631338</v>
      </c>
      <c r="AD24">
        <f t="shared" si="13"/>
        <v>0.57382352335855058</v>
      </c>
      <c r="AE24">
        <f t="shared" si="14"/>
        <v>1.7426960716895441</v>
      </c>
    </row>
    <row r="25" spans="2:31" x14ac:dyDescent="0.25">
      <c r="B25">
        <f t="shared" si="3"/>
        <v>83.380185218158687</v>
      </c>
      <c r="C25">
        <f t="shared" si="15"/>
        <v>25.420788176267894</v>
      </c>
      <c r="D25">
        <f t="shared" si="16"/>
        <v>0.49282128954713245</v>
      </c>
      <c r="E25">
        <f t="shared" si="0"/>
        <v>6.9243035752253726E-2</v>
      </c>
      <c r="F25">
        <f t="shared" si="4"/>
        <v>206.86974058658171</v>
      </c>
      <c r="G25" s="21">
        <f t="shared" si="17"/>
        <v>1426.31721260674</v>
      </c>
      <c r="H25">
        <f t="shared" si="5"/>
        <v>244.22751224899105</v>
      </c>
      <c r="I25" s="21">
        <f t="shared" si="18"/>
        <v>1683.8900823538534</v>
      </c>
      <c r="J25">
        <f t="shared" si="6"/>
        <v>629.11119744491225</v>
      </c>
      <c r="K25">
        <f t="shared" si="7"/>
        <v>349.50622080272905</v>
      </c>
      <c r="L25">
        <f>J25-'Example 6.1'!$C$9</f>
        <v>169.44119744491223</v>
      </c>
      <c r="M25">
        <f>K25-'Example 6.1'!$C$10</f>
        <v>76.356220802729069</v>
      </c>
      <c r="N25">
        <f t="shared" si="24"/>
        <v>659.67000000000007</v>
      </c>
      <c r="O25">
        <f t="shared" si="24"/>
        <v>366.48333333333335</v>
      </c>
      <c r="P25">
        <f>N25-'Example 6.1'!$C$9</f>
        <v>200.00000000000006</v>
      </c>
      <c r="Q25">
        <f>O25-'Example 6.1'!$C$10</f>
        <v>93.333333333333371</v>
      </c>
      <c r="R25">
        <f t="shared" si="8"/>
        <v>0.88750989187197193</v>
      </c>
      <c r="S25">
        <f t="shared" si="20"/>
        <v>14.216541702555508</v>
      </c>
      <c r="T25">
        <f t="shared" si="1"/>
        <v>1229.588170875599</v>
      </c>
      <c r="U25">
        <f t="shared" si="21"/>
        <v>374.87444234012167</v>
      </c>
      <c r="V25">
        <f t="shared" si="22"/>
        <v>605.96722798281257</v>
      </c>
      <c r="W25">
        <f t="shared" si="23"/>
        <v>184.74610609232093</v>
      </c>
      <c r="Y25">
        <f t="shared" si="2"/>
        <v>0.83380185218158687</v>
      </c>
      <c r="Z25">
        <f t="shared" si="9"/>
        <v>0.49282128954713245</v>
      </c>
      <c r="AA25">
        <f t="shared" si="10"/>
        <v>0.54462532272967035</v>
      </c>
      <c r="AB25">
        <f t="shared" si="11"/>
        <v>0.61056878062247766</v>
      </c>
      <c r="AC25">
        <f t="shared" si="12"/>
        <v>0.96787231484083358</v>
      </c>
      <c r="AD25">
        <f t="shared" si="13"/>
        <v>0.56270368971059359</v>
      </c>
      <c r="AE25">
        <f t="shared" si="14"/>
        <v>1.7771342507356123</v>
      </c>
    </row>
    <row r="26" spans="2:31" x14ac:dyDescent="0.25">
      <c r="B26">
        <f t="shared" si="3"/>
        <v>84.600853585215631</v>
      </c>
      <c r="C26">
        <f t="shared" si="15"/>
        <v>25.79294316622428</v>
      </c>
      <c r="D26">
        <f t="shared" si="16"/>
        <v>0.50282128954713246</v>
      </c>
      <c r="E26">
        <f t="shared" si="0"/>
        <v>7.0247102438341341E-2</v>
      </c>
      <c r="F26">
        <f t="shared" si="4"/>
        <v>202.56331366105709</v>
      </c>
      <c r="G26" s="21">
        <f t="shared" si="17"/>
        <v>1396.6254324977099</v>
      </c>
      <c r="H26">
        <f t="shared" si="5"/>
        <v>240.73668201737388</v>
      </c>
      <c r="I26" s="21">
        <f t="shared" si="18"/>
        <v>1659.8216457061087</v>
      </c>
      <c r="J26">
        <f t="shared" si="6"/>
        <v>627.91875454330079</v>
      </c>
      <c r="K26">
        <f t="shared" si="7"/>
        <v>348.84375252405601</v>
      </c>
      <c r="L26">
        <f>J26-'Example 6.1'!$C$9</f>
        <v>168.24875454330078</v>
      </c>
      <c r="M26">
        <f>K26-'Example 6.1'!$C$10</f>
        <v>75.693752524056038</v>
      </c>
      <c r="N26">
        <f t="shared" si="24"/>
        <v>659.67000000000007</v>
      </c>
      <c r="O26">
        <f t="shared" si="24"/>
        <v>366.48333333333335</v>
      </c>
      <c r="P26">
        <f>N26-'Example 6.1'!$C$9</f>
        <v>200.00000000000006</v>
      </c>
      <c r="Q26">
        <f>O26-'Example 6.1'!$C$10</f>
        <v>93.333333333333371</v>
      </c>
      <c r="R26">
        <f t="shared" si="8"/>
        <v>0.87068484604246055</v>
      </c>
      <c r="S26">
        <f t="shared" si="20"/>
        <v>13.947030378937313</v>
      </c>
      <c r="T26">
        <f t="shared" si="1"/>
        <v>1228.4223124934108</v>
      </c>
      <c r="U26">
        <f t="shared" si="21"/>
        <v>374.51899771140575</v>
      </c>
      <c r="V26">
        <f t="shared" si="22"/>
        <v>617.67689127640733</v>
      </c>
      <c r="W26">
        <f t="shared" si="23"/>
        <v>188.3161253891486</v>
      </c>
      <c r="Y26">
        <f t="shared" si="2"/>
        <v>0.8460085358521563</v>
      </c>
      <c r="Z26">
        <f t="shared" si="9"/>
        <v>0.50282128954713246</v>
      </c>
      <c r="AA26">
        <f t="shared" si="10"/>
        <v>0.53328780595474123</v>
      </c>
      <c r="AB26">
        <f t="shared" si="11"/>
        <v>0.6018417050434347</v>
      </c>
      <c r="AC26">
        <f t="shared" si="12"/>
        <v>0.96603777036573024</v>
      </c>
      <c r="AD26">
        <f t="shared" si="13"/>
        <v>0.55203618565850165</v>
      </c>
      <c r="AE26">
        <f t="shared" si="14"/>
        <v>1.811475453927246</v>
      </c>
    </row>
    <row r="27" spans="2:31" x14ac:dyDescent="0.25">
      <c r="B27">
        <f t="shared" si="3"/>
        <v>85.733267728125512</v>
      </c>
      <c r="C27">
        <f t="shared" si="15"/>
        <v>26.138191380526074</v>
      </c>
      <c r="D27">
        <f t="shared" si="16"/>
        <v>0.51282128954713246</v>
      </c>
      <c r="E27">
        <f t="shared" si="0"/>
        <v>7.1230188099565925E-2</v>
      </c>
      <c r="F27">
        <f t="shared" si="4"/>
        <v>198.42160205924773</v>
      </c>
      <c r="G27" s="21">
        <f t="shared" si="17"/>
        <v>1368.0693250140189</v>
      </c>
      <c r="H27">
        <f t="shared" si="5"/>
        <v>237.41414719700737</v>
      </c>
      <c r="I27" s="21">
        <f t="shared" si="18"/>
        <v>1636.9135655280384</v>
      </c>
      <c r="J27">
        <f t="shared" si="6"/>
        <v>626.70700694848256</v>
      </c>
      <c r="K27">
        <f t="shared" si="7"/>
        <v>348.17055941582362</v>
      </c>
      <c r="L27">
        <f>J27-'Example 6.1'!$C$9</f>
        <v>167.03700694848254</v>
      </c>
      <c r="M27">
        <f>K27-'Example 6.1'!$C$10</f>
        <v>75.020559415823641</v>
      </c>
      <c r="N27">
        <f t="shared" si="24"/>
        <v>659.67000000000007</v>
      </c>
      <c r="O27">
        <f t="shared" si="24"/>
        <v>366.48333333333335</v>
      </c>
      <c r="P27">
        <f>N27-'Example 6.1'!$C$9</f>
        <v>200.00000000000006</v>
      </c>
      <c r="Q27">
        <f>O27-'Example 6.1'!$C$10</f>
        <v>93.333333333333371</v>
      </c>
      <c r="R27">
        <f t="shared" si="8"/>
        <v>0.85453144601181252</v>
      </c>
      <c r="S27">
        <f t="shared" si="20"/>
        <v>13.688277786682379</v>
      </c>
      <c r="T27">
        <f t="shared" si="1"/>
        <v>1227.2364452098732</v>
      </c>
      <c r="U27">
        <f t="shared" si="21"/>
        <v>374.15745280788821</v>
      </c>
      <c r="V27">
        <f t="shared" si="22"/>
        <v>629.35297641176589</v>
      </c>
      <c r="W27">
        <f t="shared" si="23"/>
        <v>191.87590744261158</v>
      </c>
      <c r="Y27">
        <f t="shared" si="2"/>
        <v>0.85733267728125506</v>
      </c>
      <c r="Z27">
        <f t="shared" si="9"/>
        <v>0.51282128954713246</v>
      </c>
      <c r="AA27">
        <f t="shared" si="10"/>
        <v>0.5223839347003344</v>
      </c>
      <c r="AB27">
        <f t="shared" si="11"/>
        <v>0.59353536799251838</v>
      </c>
      <c r="AC27">
        <f t="shared" si="12"/>
        <v>0.96417352608846607</v>
      </c>
      <c r="AD27">
        <f t="shared" si="13"/>
        <v>0.54179452200848333</v>
      </c>
      <c r="AE27">
        <f t="shared" si="14"/>
        <v>1.8457181816695112</v>
      </c>
    </row>
    <row r="28" spans="2:31" x14ac:dyDescent="0.25">
      <c r="B28">
        <f t="shared" si="3"/>
        <v>86.784515511686749</v>
      </c>
      <c r="C28">
        <f t="shared" si="15"/>
        <v>26.458693753563036</v>
      </c>
      <c r="D28">
        <f t="shared" si="16"/>
        <v>0.52282128954713247</v>
      </c>
      <c r="E28">
        <f t="shared" si="0"/>
        <v>7.219215948239513E-2</v>
      </c>
      <c r="F28">
        <f t="shared" si="4"/>
        <v>194.43518381252849</v>
      </c>
      <c r="G28" s="21">
        <f t="shared" si="17"/>
        <v>1340.5839279432689</v>
      </c>
      <c r="H28">
        <f t="shared" si="5"/>
        <v>234.25056797843567</v>
      </c>
      <c r="I28" s="21">
        <f t="shared" si="18"/>
        <v>1615.1014460749991</v>
      </c>
      <c r="J28">
        <f t="shared" si="6"/>
        <v>625.47620407507577</v>
      </c>
      <c r="K28">
        <f t="shared" si="7"/>
        <v>347.48678004170876</v>
      </c>
      <c r="L28">
        <f>J28-'Example 6.1'!$C$9</f>
        <v>165.80620407507575</v>
      </c>
      <c r="M28">
        <f>K28-'Example 6.1'!$C$10</f>
        <v>74.336780041708778</v>
      </c>
      <c r="N28">
        <f t="shared" si="24"/>
        <v>659.67000000000007</v>
      </c>
      <c r="O28">
        <f t="shared" si="24"/>
        <v>366.48333333333335</v>
      </c>
      <c r="P28">
        <f>N28-'Example 6.1'!$C$9</f>
        <v>200.00000000000006</v>
      </c>
      <c r="Q28">
        <f>O28-'Example 6.1'!$C$10</f>
        <v>93.333333333333371</v>
      </c>
      <c r="R28">
        <f t="shared" si="8"/>
        <v>0.83901110818108171</v>
      </c>
      <c r="S28">
        <f t="shared" si="20"/>
        <v>13.439665875954331</v>
      </c>
      <c r="T28">
        <f t="shared" si="1"/>
        <v>1226.0307554104531</v>
      </c>
      <c r="U28">
        <f t="shared" si="21"/>
        <v>373.78986445440648</v>
      </c>
      <c r="V28">
        <f t="shared" si="22"/>
        <v>640.99498056813809</v>
      </c>
      <c r="W28">
        <f t="shared" si="23"/>
        <v>195.42529895370066</v>
      </c>
      <c r="Y28">
        <f t="shared" si="2"/>
        <v>0.86784515511686744</v>
      </c>
      <c r="Z28">
        <f t="shared" si="9"/>
        <v>0.52282128954713247</v>
      </c>
      <c r="AA28">
        <f t="shared" si="10"/>
        <v>0.51188890377895013</v>
      </c>
      <c r="AB28">
        <f t="shared" si="11"/>
        <v>0.58562641994608922</v>
      </c>
      <c r="AC28">
        <f t="shared" si="12"/>
        <v>0.96227996572738006</v>
      </c>
      <c r="AD28">
        <f t="shared" si="13"/>
        <v>0.53195423578419532</v>
      </c>
      <c r="AE28">
        <f t="shared" si="14"/>
        <v>1.8798609593282434</v>
      </c>
    </row>
    <row r="29" spans="2:31" x14ac:dyDescent="0.25">
      <c r="B29">
        <f t="shared" si="3"/>
        <v>87.761011793179676</v>
      </c>
      <c r="C29">
        <f t="shared" si="15"/>
        <v>26.756406034506</v>
      </c>
      <c r="D29">
        <f t="shared" si="16"/>
        <v>0.53282128954713248</v>
      </c>
      <c r="E29">
        <f t="shared" si="0"/>
        <v>7.3132896048581031E-2</v>
      </c>
      <c r="F29">
        <f t="shared" si="4"/>
        <v>190.59534460753403</v>
      </c>
      <c r="G29" s="21">
        <f t="shared" si="17"/>
        <v>1314.1091581862413</v>
      </c>
      <c r="H29">
        <f t="shared" si="5"/>
        <v>231.23731283808482</v>
      </c>
      <c r="I29" s="21">
        <f t="shared" si="18"/>
        <v>1594.3257750635137</v>
      </c>
      <c r="J29">
        <f t="shared" si="6"/>
        <v>624.2265977287226</v>
      </c>
      <c r="K29">
        <f t="shared" si="7"/>
        <v>346.79255429373478</v>
      </c>
      <c r="L29">
        <f>J29-'Example 6.1'!$C$9</f>
        <v>164.55659772872258</v>
      </c>
      <c r="M29">
        <f>K29-'Example 6.1'!$C$10</f>
        <v>73.642554293734804</v>
      </c>
      <c r="N29">
        <f t="shared" si="24"/>
        <v>659.67000000000007</v>
      </c>
      <c r="O29">
        <f t="shared" si="24"/>
        <v>366.48333333333335</v>
      </c>
      <c r="P29">
        <f>N29-'Example 6.1'!$C$9</f>
        <v>200.00000000000006</v>
      </c>
      <c r="Q29">
        <f>O29-'Example 6.1'!$C$10</f>
        <v>93.333333333333371</v>
      </c>
      <c r="R29">
        <f t="shared" si="8"/>
        <v>0.82408814486735371</v>
      </c>
      <c r="S29">
        <f t="shared" si="20"/>
        <v>13.200622985031911</v>
      </c>
      <c r="T29">
        <f t="shared" si="1"/>
        <v>1224.8054315917593</v>
      </c>
      <c r="U29">
        <f t="shared" si="21"/>
        <v>373.41629011943883</v>
      </c>
      <c r="V29">
        <f t="shared" si="22"/>
        <v>652.6024095050534</v>
      </c>
      <c r="W29">
        <f t="shared" si="23"/>
        <v>198.96414923934557</v>
      </c>
      <c r="Y29">
        <f t="shared" si="2"/>
        <v>0.87761011793179677</v>
      </c>
      <c r="Z29">
        <f t="shared" si="9"/>
        <v>0.53282128954713248</v>
      </c>
      <c r="AA29">
        <f t="shared" si="10"/>
        <v>0.50177977104489091</v>
      </c>
      <c r="AB29">
        <f t="shared" si="11"/>
        <v>0.57809328209521205</v>
      </c>
      <c r="AC29">
        <f t="shared" si="12"/>
        <v>0.96035747667934412</v>
      </c>
      <c r="AD29">
        <f t="shared" si="13"/>
        <v>0.52249270009320847</v>
      </c>
      <c r="AE29">
        <f t="shared" si="14"/>
        <v>1.9139023374328641</v>
      </c>
    </row>
    <row r="30" spans="2:31" x14ac:dyDescent="0.25">
      <c r="B30">
        <f t="shared" si="3"/>
        <v>88.668572884350652</v>
      </c>
      <c r="C30">
        <f t="shared" si="15"/>
        <v>27.033101489131298</v>
      </c>
      <c r="D30">
        <f t="shared" si="16"/>
        <v>0.54282128954713249</v>
      </c>
      <c r="E30">
        <f t="shared" si="0"/>
        <v>7.4052289892289E-2</v>
      </c>
      <c r="F30">
        <f t="shared" si="4"/>
        <v>186.89401259153419</v>
      </c>
      <c r="G30" s="21">
        <f t="shared" si="17"/>
        <v>1288.5893622556061</v>
      </c>
      <c r="H30">
        <f t="shared" si="5"/>
        <v>228.36639335445864</v>
      </c>
      <c r="I30" s="21">
        <f t="shared" si="18"/>
        <v>1574.5314742445871</v>
      </c>
      <c r="J30">
        <f t="shared" si="6"/>
        <v>622.95844198758664</v>
      </c>
      <c r="K30">
        <f t="shared" si="7"/>
        <v>346.088023326437</v>
      </c>
      <c r="L30">
        <f>J30-'Example 6.1'!$C$9</f>
        <v>163.28844198758662</v>
      </c>
      <c r="M30">
        <f>K30-'Example 6.1'!$C$10</f>
        <v>72.938023326437019</v>
      </c>
      <c r="N30">
        <f t="shared" si="24"/>
        <v>659.67000000000007</v>
      </c>
      <c r="O30">
        <f t="shared" si="24"/>
        <v>366.48333333333335</v>
      </c>
      <c r="P30">
        <f>N30-'Example 6.1'!$C$9</f>
        <v>200.00000000000006</v>
      </c>
      <c r="Q30">
        <f>O30-'Example 6.1'!$C$10</f>
        <v>93.333333333333371</v>
      </c>
      <c r="R30">
        <f t="shared" si="8"/>
        <v>0.80972949756778334</v>
      </c>
      <c r="S30">
        <f t="shared" si="20"/>
        <v>12.970619567609635</v>
      </c>
      <c r="T30">
        <f t="shared" si="1"/>
        <v>1223.5606642859605</v>
      </c>
      <c r="U30">
        <f t="shared" si="21"/>
        <v>373.03678789206111</v>
      </c>
      <c r="V30">
        <f t="shared" si="22"/>
        <v>664.1747776268511</v>
      </c>
      <c r="W30">
        <f t="shared" si="23"/>
        <v>202.49231025208877</v>
      </c>
      <c r="Y30">
        <f t="shared" si="2"/>
        <v>0.88668572884350649</v>
      </c>
      <c r="Z30">
        <f t="shared" si="9"/>
        <v>0.54282128954713249</v>
      </c>
      <c r="AA30">
        <f t="shared" si="10"/>
        <v>0.49203528575657551</v>
      </c>
      <c r="AB30">
        <f t="shared" si="11"/>
        <v>0.57091598338614657</v>
      </c>
      <c r="AC30">
        <f t="shared" si="12"/>
        <v>0.95840644983744883</v>
      </c>
      <c r="AD30">
        <f t="shared" si="13"/>
        <v>0.51338895500966986</v>
      </c>
      <c r="AE30">
        <f t="shared" si="14"/>
        <v>1.9478408918656311</v>
      </c>
    </row>
    <row r="31" spans="2:31" x14ac:dyDescent="0.25">
      <c r="B31">
        <f t="shared" si="3"/>
        <v>89.51248161587948</v>
      </c>
      <c r="C31">
        <f t="shared" si="15"/>
        <v>27.290390736548623</v>
      </c>
      <c r="D31">
        <f t="shared" si="16"/>
        <v>0.5528212895471325</v>
      </c>
      <c r="E31">
        <f t="shared" si="0"/>
        <v>7.495024564569909E-2</v>
      </c>
      <c r="F31">
        <f t="shared" si="4"/>
        <v>183.32370025363386</v>
      </c>
      <c r="G31" s="21">
        <f t="shared" si="17"/>
        <v>1263.9729155607445</v>
      </c>
      <c r="H31">
        <f t="shared" si="5"/>
        <v>225.63040610009375</v>
      </c>
      <c r="I31" s="21">
        <f t="shared" si="18"/>
        <v>1555.6674987626823</v>
      </c>
      <c r="J31">
        <f t="shared" si="6"/>
        <v>621.67199308396869</v>
      </c>
      <c r="K31">
        <f t="shared" si="7"/>
        <v>345.37332949109373</v>
      </c>
      <c r="L31">
        <f>J31-'Example 6.1'!$C$9</f>
        <v>162.00199308396867</v>
      </c>
      <c r="M31">
        <f>K31-'Example 6.1'!$C$10</f>
        <v>72.22332949109375</v>
      </c>
      <c r="N31">
        <f t="shared" si="24"/>
        <v>659.67000000000007</v>
      </c>
      <c r="O31">
        <f t="shared" si="24"/>
        <v>366.48333333333335</v>
      </c>
      <c r="P31">
        <f>N31-'Example 6.1'!$C$9</f>
        <v>200.00000000000006</v>
      </c>
      <c r="Q31">
        <f>O31-'Example 6.1'!$C$10</f>
        <v>93.333333333333371</v>
      </c>
      <c r="R31">
        <f t="shared" si="8"/>
        <v>0.79590449917367856</v>
      </c>
      <c r="S31">
        <f t="shared" si="20"/>
        <v>12.749164383833604</v>
      </c>
      <c r="T31">
        <f t="shared" si="1"/>
        <v>1222.2966459850627</v>
      </c>
      <c r="U31">
        <f t="shared" si="21"/>
        <v>372.65141645886058</v>
      </c>
      <c r="V31">
        <f t="shared" si="22"/>
        <v>675.71160804259728</v>
      </c>
      <c r="W31">
        <f t="shared" si="23"/>
        <v>206.00963659835284</v>
      </c>
      <c r="Y31">
        <f t="shared" si="2"/>
        <v>0.8951248161587948</v>
      </c>
      <c r="Z31">
        <f t="shared" si="9"/>
        <v>0.5528212895471325</v>
      </c>
      <c r="AA31">
        <f t="shared" si="10"/>
        <v>0.48263573556735456</v>
      </c>
      <c r="AB31">
        <f t="shared" si="11"/>
        <v>0.56407601525023443</v>
      </c>
      <c r="AC31">
        <f t="shared" si="12"/>
        <v>0.95642727940887251</v>
      </c>
      <c r="AD31">
        <f t="shared" si="13"/>
        <v>0.50462355681202586</v>
      </c>
      <c r="AE31">
        <f t="shared" si="14"/>
        <v>1.9816752240373579</v>
      </c>
    </row>
    <row r="32" spans="2:31" x14ac:dyDescent="0.25">
      <c r="B32">
        <f t="shared" si="3"/>
        <v>90.297544332956292</v>
      </c>
      <c r="C32">
        <f t="shared" si="15"/>
        <v>27.529739125901312</v>
      </c>
      <c r="D32">
        <f t="shared" si="16"/>
        <v>0.56282128954713251</v>
      </c>
      <c r="E32">
        <f t="shared" si="0"/>
        <v>7.5826680373410865E-2</v>
      </c>
      <c r="F32">
        <f t="shared" si="4"/>
        <v>179.87745250175954</v>
      </c>
      <c r="G32" s="21">
        <f t="shared" si="17"/>
        <v>1240.2118644110315</v>
      </c>
      <c r="H32">
        <f t="shared" si="5"/>
        <v>223.02248072923476</v>
      </c>
      <c r="I32" s="21">
        <f t="shared" si="18"/>
        <v>1537.6864792326985</v>
      </c>
      <c r="J32">
        <f t="shared" si="6"/>
        <v>620.36750928612946</v>
      </c>
      <c r="K32">
        <f t="shared" si="7"/>
        <v>344.6486162700719</v>
      </c>
      <c r="L32">
        <f>J32-'Example 6.1'!$C$9</f>
        <v>160.69750928612945</v>
      </c>
      <c r="M32">
        <f>K32-'Example 6.1'!$C$10</f>
        <v>71.498616270071921</v>
      </c>
      <c r="N32">
        <f t="shared" si="24"/>
        <v>659.67000000000007</v>
      </c>
      <c r="O32">
        <f t="shared" si="24"/>
        <v>366.48333333333335</v>
      </c>
      <c r="P32">
        <f>N32-'Example 6.1'!$C$9</f>
        <v>200.00000000000006</v>
      </c>
      <c r="Q32">
        <f>O32-'Example 6.1'!$C$10</f>
        <v>93.333333333333371</v>
      </c>
      <c r="R32">
        <f t="shared" si="8"/>
        <v>0.78258466153400308</v>
      </c>
      <c r="S32">
        <f t="shared" si="20"/>
        <v>12.535801097395968</v>
      </c>
      <c r="T32">
        <f t="shared" si="1"/>
        <v>1221.0135710651007</v>
      </c>
      <c r="U32">
        <f t="shared" si="21"/>
        <v>372.26023508082341</v>
      </c>
      <c r="V32">
        <f t="shared" si="22"/>
        <v>687.21243262140933</v>
      </c>
      <c r="W32">
        <f t="shared" si="23"/>
        <v>209.51598555530774</v>
      </c>
      <c r="Y32">
        <f t="shared" si="2"/>
        <v>0.90297544332956292</v>
      </c>
      <c r="Z32">
        <f t="shared" si="9"/>
        <v>0.56282128954713251</v>
      </c>
      <c r="AA32">
        <f t="shared" si="10"/>
        <v>0.47356280982795473</v>
      </c>
      <c r="AB32">
        <f t="shared" si="11"/>
        <v>0.55755620182308685</v>
      </c>
      <c r="AC32">
        <f t="shared" si="12"/>
        <v>0.95442036273306885</v>
      </c>
      <c r="AD32">
        <f t="shared" si="13"/>
        <v>0.49617844329291638</v>
      </c>
      <c r="AE32">
        <f t="shared" si="14"/>
        <v>2.0154039610496648</v>
      </c>
    </row>
    <row r="33" spans="2:31" x14ac:dyDescent="0.25">
      <c r="B33">
        <f t="shared" si="3"/>
        <v>91.028140943188234</v>
      </c>
      <c r="C33">
        <f t="shared" si="15"/>
        <v>27.752481994874461</v>
      </c>
      <c r="D33">
        <f t="shared" si="16"/>
        <v>0.57282128954713252</v>
      </c>
      <c r="E33">
        <f t="shared" si="0"/>
        <v>7.6681523455991732E-2</v>
      </c>
      <c r="F33">
        <f t="shared" si="4"/>
        <v>176.5488001783016</v>
      </c>
      <c r="G33" s="21">
        <f t="shared" si="17"/>
        <v>1217.2616055173467</v>
      </c>
      <c r="H33">
        <f t="shared" si="5"/>
        <v>220.53623350410206</v>
      </c>
      <c r="I33" s="21">
        <f t="shared" si="18"/>
        <v>1520.5444013147426</v>
      </c>
      <c r="J33">
        <f t="shared" si="6"/>
        <v>619.04525078041149</v>
      </c>
      <c r="K33">
        <f t="shared" si="7"/>
        <v>343.91402821133971</v>
      </c>
      <c r="L33">
        <f>J33-'Example 6.1'!$C$9</f>
        <v>159.37525078041148</v>
      </c>
      <c r="M33">
        <f>K33-'Example 6.1'!$C$10</f>
        <v>70.764028211339735</v>
      </c>
      <c r="N33">
        <f t="shared" si="24"/>
        <v>659.67000000000007</v>
      </c>
      <c r="O33">
        <f t="shared" si="24"/>
        <v>366.48333333333335</v>
      </c>
      <c r="P33">
        <f>N33-'Example 6.1'!$C$9</f>
        <v>200.00000000000006</v>
      </c>
      <c r="Q33">
        <f>O33-'Example 6.1'!$C$10</f>
        <v>93.333333333333371</v>
      </c>
      <c r="R33">
        <f t="shared" si="8"/>
        <v>0.76974348527054304</v>
      </c>
      <c r="S33">
        <f t="shared" si="20"/>
        <v>12.330105229066783</v>
      </c>
      <c r="T33">
        <f t="shared" si="1"/>
        <v>1219.7116357102925</v>
      </c>
      <c r="U33">
        <f t="shared" si="21"/>
        <v>371.86330357021114</v>
      </c>
      <c r="V33">
        <f t="shared" si="22"/>
        <v>698.67679204321212</v>
      </c>
      <c r="W33">
        <f t="shared" si="23"/>
        <v>213.01121708634517</v>
      </c>
      <c r="Y33">
        <f t="shared" si="2"/>
        <v>0.91028140943188229</v>
      </c>
      <c r="Z33">
        <f t="shared" si="9"/>
        <v>0.57282128954713252</v>
      </c>
      <c r="AA33">
        <f t="shared" si="10"/>
        <v>0.46479947720725473</v>
      </c>
      <c r="AB33">
        <f t="shared" si="11"/>
        <v>0.55134058376025519</v>
      </c>
      <c r="AC33">
        <f t="shared" si="12"/>
        <v>0.95238610010041358</v>
      </c>
      <c r="AD33">
        <f t="shared" si="13"/>
        <v>0.48803681317718645</v>
      </c>
      <c r="AE33">
        <f t="shared" si="14"/>
        <v>2.0490257558438332</v>
      </c>
    </row>
    <row r="34" spans="2:31" x14ac:dyDescent="0.25">
      <c r="B34">
        <f t="shared" si="3"/>
        <v>91.708268965986065</v>
      </c>
      <c r="C34">
        <f t="shared" si="15"/>
        <v>27.959838099385998</v>
      </c>
      <c r="D34">
        <f t="shared" si="16"/>
        <v>0.58282128954713253</v>
      </c>
      <c r="E34">
        <f t="shared" si="0"/>
        <v>7.7514716463022257E-2</v>
      </c>
      <c r="F34">
        <f t="shared" si="4"/>
        <v>173.33171836120849</v>
      </c>
      <c r="G34" s="21">
        <f t="shared" si="17"/>
        <v>1195.0805984881258</v>
      </c>
      <c r="H34">
        <f t="shared" si="5"/>
        <v>218.16572560654524</v>
      </c>
      <c r="I34" s="21">
        <f t="shared" si="18"/>
        <v>1504.2003182829837</v>
      </c>
      <c r="J34">
        <f t="shared" si="6"/>
        <v>617.70547955374752</v>
      </c>
      <c r="K34">
        <f t="shared" si="7"/>
        <v>343.16971086319307</v>
      </c>
      <c r="L34">
        <f>J34-'Example 6.1'!$C$9</f>
        <v>158.03547955374751</v>
      </c>
      <c r="M34">
        <f>K34-'Example 6.1'!$C$10</f>
        <v>70.019710863193097</v>
      </c>
      <c r="N34">
        <f t="shared" si="24"/>
        <v>659.67000000000007</v>
      </c>
      <c r="O34">
        <f t="shared" si="24"/>
        <v>366.48333333333335</v>
      </c>
      <c r="P34">
        <f>N34-'Example 6.1'!$C$9</f>
        <v>200.00000000000006</v>
      </c>
      <c r="Q34">
        <f>O34-'Example 6.1'!$C$10</f>
        <v>93.333333333333371</v>
      </c>
      <c r="R34">
        <f t="shared" si="8"/>
        <v>0.75735628917218389</v>
      </c>
      <c r="S34">
        <f t="shared" si="20"/>
        <v>12.131681423853061</v>
      </c>
      <c r="T34">
        <f t="shared" si="1"/>
        <v>1218.3910378372152</v>
      </c>
      <c r="U34">
        <f t="shared" si="21"/>
        <v>371.4606822674437</v>
      </c>
      <c r="V34">
        <f t="shared" si="22"/>
        <v>710.10423584495493</v>
      </c>
      <c r="W34">
        <f t="shared" si="23"/>
        <v>216.49519385516919</v>
      </c>
      <c r="Y34">
        <f t="shared" si="2"/>
        <v>0.91708268965986062</v>
      </c>
      <c r="Z34">
        <f t="shared" si="9"/>
        <v>0.58282128954713253</v>
      </c>
      <c r="AA34">
        <f t="shared" si="10"/>
        <v>0.45632987591170526</v>
      </c>
      <c r="AB34">
        <f t="shared" si="11"/>
        <v>0.54541431401636309</v>
      </c>
      <c r="AC34">
        <f t="shared" si="12"/>
        <v>0.95032489457144675</v>
      </c>
      <c r="AD34">
        <f t="shared" si="13"/>
        <v>0.48018301795354867</v>
      </c>
      <c r="AE34">
        <f t="shared" si="14"/>
        <v>2.0825392873363473</v>
      </c>
    </row>
    <row r="35" spans="2:31" x14ac:dyDescent="0.25">
      <c r="B35">
        <f t="shared" si="3"/>
        <v>92.341582389338541</v>
      </c>
      <c r="C35">
        <f t="shared" si="15"/>
        <v>28.15292146016419</v>
      </c>
      <c r="D35">
        <f t="shared" si="16"/>
        <v>0.59282128954713253</v>
      </c>
      <c r="E35">
        <f t="shared" ref="E35:E66" si="25">(Gam/Z/Rg)^0.5*D35*(1+D35^2*(Gam-1)/2)^(-(Gam+1)/2/(Gam-1))</f>
        <v>7.8326213016000346E-2</v>
      </c>
      <c r="F35">
        <f t="shared" si="4"/>
        <v>170.22058888547539</v>
      </c>
      <c r="G35" s="21">
        <f t="shared" si="17"/>
        <v>1173.6301074240203</v>
      </c>
      <c r="H35">
        <f t="shared" si="5"/>
        <v>215.90542567002834</v>
      </c>
      <c r="I35" s="21">
        <f t="shared" si="18"/>
        <v>1488.6160926926846</v>
      </c>
      <c r="J35">
        <f t="shared" si="6"/>
        <v>616.3484592766423</v>
      </c>
      <c r="K35">
        <f t="shared" si="7"/>
        <v>342.4158107092457</v>
      </c>
      <c r="L35">
        <f>J35-'Example 6.1'!$C$9</f>
        <v>156.67845927664229</v>
      </c>
      <c r="M35">
        <f>K35-'Example 6.1'!$C$10</f>
        <v>69.265810709245727</v>
      </c>
      <c r="N35">
        <f t="shared" si="24"/>
        <v>659.67000000000007</v>
      </c>
      <c r="O35">
        <f t="shared" si="24"/>
        <v>366.48333333333335</v>
      </c>
      <c r="P35">
        <f>N35-'Example 6.1'!$C$9</f>
        <v>200.00000000000006</v>
      </c>
      <c r="Q35">
        <f>O35-'Example 6.1'!$C$10</f>
        <v>93.333333333333371</v>
      </c>
      <c r="R35">
        <f t="shared" si="8"/>
        <v>0.74540005685640476</v>
      </c>
      <c r="S35">
        <f t="shared" si="20"/>
        <v>11.940160994752047</v>
      </c>
      <c r="T35">
        <f t="shared" ref="T35:T66" si="26">(Gam*F35/R35*gc*144)^0.5</f>
        <v>1217.0519770190444</v>
      </c>
      <c r="U35">
        <f t="shared" si="21"/>
        <v>371.05243201800135</v>
      </c>
      <c r="V35">
        <f t="shared" si="22"/>
        <v>721.49432246231709</v>
      </c>
      <c r="W35">
        <f t="shared" si="23"/>
        <v>219.96778123851132</v>
      </c>
      <c r="Y35">
        <f t="shared" ref="Y35:Y66" si="27">B35/L</f>
        <v>0.92341582389338539</v>
      </c>
      <c r="Z35">
        <f t="shared" si="9"/>
        <v>0.59282128954713253</v>
      </c>
      <c r="AA35">
        <f t="shared" si="10"/>
        <v>0.44813921501576937</v>
      </c>
      <c r="AB35">
        <f t="shared" si="11"/>
        <v>0.53976356417507088</v>
      </c>
      <c r="AC35">
        <f t="shared" si="12"/>
        <v>0.9482371517968432</v>
      </c>
      <c r="AD35">
        <f t="shared" si="13"/>
        <v>0.47260246465409711</v>
      </c>
      <c r="AE35">
        <f t="shared" si="14"/>
        <v>2.1159432605412047</v>
      </c>
    </row>
    <row r="36" spans="2:31" x14ac:dyDescent="0.25">
      <c r="B36">
        <f t="shared" ref="B36:B67" si="28">(1/Gam*(1/M_1^2-1/D36^2)+(Gam+1)/2/Gam*LN((M_1^2/D36^2)*(1+D36^2*(Gam-1)/2)/(1+M_1^2*(Gam-1)/2)))*D/f</f>
        <v>92.931426020244885</v>
      </c>
      <c r="C36">
        <f t="shared" si="15"/>
        <v>28.332751835440515</v>
      </c>
      <c r="D36">
        <f t="shared" si="16"/>
        <v>0.60282128954713254</v>
      </c>
      <c r="E36">
        <f t="shared" si="25"/>
        <v>7.9115978641475487E-2</v>
      </c>
      <c r="F36">
        <f t="shared" ref="F36:F67" si="29">H36/(1+(Gam-1)/2*D36^2)^(Gam/(Gam-1))</f>
        <v>167.21016659495982</v>
      </c>
      <c r="G36" s="21">
        <f t="shared" si="17"/>
        <v>1152.873968232265</v>
      </c>
      <c r="H36">
        <f t="shared" ref="H36:H67" si="30">mdot*N36^0.5/A/E36/gc^0.5/144</f>
        <v>213.75017604187832</v>
      </c>
      <c r="I36" s="21">
        <f t="shared" si="18"/>
        <v>1473.756163766501</v>
      </c>
      <c r="J36">
        <f t="shared" ref="J36:J67" si="31">N36/(1+(Gam-1)/2*D36^2)</f>
        <v>614.97445518671213</v>
      </c>
      <c r="K36">
        <f t="shared" si="7"/>
        <v>341.65247510372893</v>
      </c>
      <c r="L36">
        <f>J36-'Example 6.1'!$C$9</f>
        <v>155.30445518671212</v>
      </c>
      <c r="M36">
        <f>K36-'Example 6.1'!$C$10</f>
        <v>68.502475103728955</v>
      </c>
      <c r="N36">
        <f t="shared" si="24"/>
        <v>659.67000000000007</v>
      </c>
      <c r="O36">
        <f t="shared" si="24"/>
        <v>366.48333333333335</v>
      </c>
      <c r="P36">
        <f>N36-'Example 6.1'!$C$9</f>
        <v>200.00000000000006</v>
      </c>
      <c r="Q36">
        <f>O36-'Example 6.1'!$C$10</f>
        <v>93.333333333333371</v>
      </c>
      <c r="R36">
        <f t="shared" ref="R36:R67" si="32">F36/J36/Rg/Z*144</f>
        <v>0.73385329869290117</v>
      </c>
      <c r="S36">
        <f t="shared" si="20"/>
        <v>11.755199710980291</v>
      </c>
      <c r="T36">
        <f t="shared" si="26"/>
        <v>1215.6946544099139</v>
      </c>
      <c r="U36">
        <f t="shared" si="21"/>
        <v>370.638614149364</v>
      </c>
      <c r="V36">
        <f t="shared" si="22"/>
        <v>732.84661926693991</v>
      </c>
      <c r="W36">
        <f t="shared" si="23"/>
        <v>223.4288473374817</v>
      </c>
      <c r="Y36">
        <f t="shared" si="27"/>
        <v>0.92931426020244889</v>
      </c>
      <c r="Z36">
        <f t="shared" si="9"/>
        <v>0.60282128954713254</v>
      </c>
      <c r="AA36">
        <f t="shared" si="10"/>
        <v>0.44021368561318164</v>
      </c>
      <c r="AB36">
        <f t="shared" si="11"/>
        <v>0.53437544010469584</v>
      </c>
      <c r="AC36">
        <f t="shared" si="12"/>
        <v>0.94612327983824096</v>
      </c>
      <c r="AD36">
        <f t="shared" si="13"/>
        <v>0.46528152831039643</v>
      </c>
      <c r="AE36">
        <f t="shared" si="14"/>
        <v>2.1492364066791079</v>
      </c>
    </row>
    <row r="37" spans="2:31" x14ac:dyDescent="0.25">
      <c r="B37">
        <f t="shared" si="28"/>
        <v>93.480865914836443</v>
      </c>
      <c r="C37">
        <f t="shared" si="15"/>
        <v>28.500263998425748</v>
      </c>
      <c r="D37">
        <f t="shared" si="16"/>
        <v>0.61282128954713255</v>
      </c>
      <c r="E37">
        <f t="shared" si="25"/>
        <v>7.9883990614793232E-2</v>
      </c>
      <c r="F37">
        <f t="shared" si="29"/>
        <v>164.29554889843126</v>
      </c>
      <c r="G37" s="21">
        <f t="shared" si="17"/>
        <v>1132.778378722948</v>
      </c>
      <c r="H37">
        <f t="shared" si="30"/>
        <v>211.69516234970379</v>
      </c>
      <c r="I37" s="21">
        <f t="shared" si="18"/>
        <v>1459.5873375622436</v>
      </c>
      <c r="J37">
        <f t="shared" si="31"/>
        <v>613.5837339728663</v>
      </c>
      <c r="K37">
        <f t="shared" si="7"/>
        <v>340.87985220714796</v>
      </c>
      <c r="L37">
        <f>J37-'Example 6.1'!$C$9</f>
        <v>153.91373397286628</v>
      </c>
      <c r="M37">
        <f>K37-'Example 6.1'!$C$10</f>
        <v>67.729852207147985</v>
      </c>
      <c r="N37">
        <f t="shared" ref="N37:O52" si="33">N36</f>
        <v>659.67000000000007</v>
      </c>
      <c r="O37">
        <f t="shared" si="33"/>
        <v>366.48333333333335</v>
      </c>
      <c r="P37">
        <f>N37-'Example 6.1'!$C$9</f>
        <v>200.00000000000006</v>
      </c>
      <c r="Q37">
        <f>O37-'Example 6.1'!$C$10</f>
        <v>93.333333333333371</v>
      </c>
      <c r="R37">
        <f t="shared" si="32"/>
        <v>0.72269592724600507</v>
      </c>
      <c r="S37">
        <f t="shared" si="20"/>
        <v>11.576475802753043</v>
      </c>
      <c r="T37">
        <f t="shared" si="26"/>
        <v>1214.3192726694419</v>
      </c>
      <c r="U37">
        <f t="shared" si="21"/>
        <v>370.21929044800061</v>
      </c>
      <c r="V37">
        <f t="shared" si="22"/>
        <v>744.16070259922344</v>
      </c>
      <c r="W37">
        <f t="shared" si="23"/>
        <v>226.87826298756815</v>
      </c>
      <c r="Y37">
        <f t="shared" si="27"/>
        <v>0.93480865914836442</v>
      </c>
      <c r="Z37">
        <f t="shared" si="9"/>
        <v>0.61282128954713255</v>
      </c>
      <c r="AA37">
        <f t="shared" si="10"/>
        <v>0.43254038066725553</v>
      </c>
      <c r="AB37">
        <f t="shared" si="11"/>
        <v>0.52923790587425945</v>
      </c>
      <c r="AC37">
        <f t="shared" si="12"/>
        <v>0.94398368899005691</v>
      </c>
      <c r="AD37">
        <f t="shared" si="13"/>
        <v>0.45820747298082976</v>
      </c>
      <c r="AE37">
        <f t="shared" si="14"/>
        <v>2.1824174832736465</v>
      </c>
    </row>
    <row r="38" spans="2:31" x14ac:dyDescent="0.25">
      <c r="B38">
        <f t="shared" si="28"/>
        <v>93.992716389973793</v>
      </c>
      <c r="C38">
        <f t="shared" si="15"/>
        <v>28.656315972552989</v>
      </c>
      <c r="D38">
        <f t="shared" si="16"/>
        <v>0.62282128954713256</v>
      </c>
      <c r="E38">
        <f t="shared" si="25"/>
        <v>8.0630237794835261E-2</v>
      </c>
      <c r="F38">
        <f t="shared" si="29"/>
        <v>161.4721482584925</v>
      </c>
      <c r="G38" s="21">
        <f t="shared" si="17"/>
        <v>1113.3117089267237</v>
      </c>
      <c r="H38">
        <f t="shared" si="30"/>
        <v>209.73588600062519</v>
      </c>
      <c r="I38" s="21">
        <f t="shared" si="18"/>
        <v>1446.0785973616705</v>
      </c>
      <c r="J38">
        <f t="shared" si="31"/>
        <v>612.17656366020776</v>
      </c>
      <c r="K38">
        <f t="shared" si="7"/>
        <v>340.09809092233763</v>
      </c>
      <c r="L38">
        <f>J38-'Example 6.1'!$C$9</f>
        <v>152.50656366020775</v>
      </c>
      <c r="M38">
        <f>K38-'Example 6.1'!$C$10</f>
        <v>66.948090922337656</v>
      </c>
      <c r="N38">
        <f t="shared" si="33"/>
        <v>659.67000000000007</v>
      </c>
      <c r="O38">
        <f t="shared" si="33"/>
        <v>366.48333333333335</v>
      </c>
      <c r="P38">
        <f>N38-'Example 6.1'!$C$9</f>
        <v>200.00000000000006</v>
      </c>
      <c r="Q38">
        <f>O38-'Example 6.1'!$C$10</f>
        <v>93.333333333333371</v>
      </c>
      <c r="R38">
        <f t="shared" si="32"/>
        <v>0.71190914471649624</v>
      </c>
      <c r="S38">
        <f t="shared" si="20"/>
        <v>11.403688158275408</v>
      </c>
      <c r="T38">
        <f t="shared" si="26"/>
        <v>1212.9260358874733</v>
      </c>
      <c r="U38">
        <f t="shared" si="21"/>
        <v>369.7945231364248</v>
      </c>
      <c r="V38">
        <f t="shared" si="22"/>
        <v>755.43615779672768</v>
      </c>
      <c r="W38">
        <f t="shared" si="23"/>
        <v>230.31590176729503</v>
      </c>
      <c r="Y38">
        <f t="shared" si="27"/>
        <v>0.93992716389973796</v>
      </c>
      <c r="Z38">
        <f t="shared" si="9"/>
        <v>0.62282128954713256</v>
      </c>
      <c r="AA38">
        <f t="shared" si="10"/>
        <v>0.42510722258255135</v>
      </c>
      <c r="AB38">
        <f t="shared" si="11"/>
        <v>0.52433971500156296</v>
      </c>
      <c r="AC38">
        <f t="shared" si="12"/>
        <v>0.94181879160240967</v>
      </c>
      <c r="AD38">
        <f t="shared" si="13"/>
        <v>0.45136838038586413</v>
      </c>
      <c r="AE38">
        <f t="shared" si="14"/>
        <v>2.2154852742345925</v>
      </c>
    </row>
    <row r="39" spans="2:31" x14ac:dyDescent="0.25">
      <c r="B39">
        <f t="shared" si="28"/>
        <v>94.469564047094082</v>
      </c>
      <c r="C39">
        <f t="shared" si="15"/>
        <v>28.801696355821367</v>
      </c>
      <c r="D39">
        <f t="shared" si="16"/>
        <v>0.63282128954713257</v>
      </c>
      <c r="E39">
        <f t="shared" si="25"/>
        <v>8.1354720450148937E-2</v>
      </c>
      <c r="F39">
        <f t="shared" si="29"/>
        <v>158.73566728895651</v>
      </c>
      <c r="G39" s="21">
        <f t="shared" si="17"/>
        <v>1094.4443293972058</v>
      </c>
      <c r="H39">
        <f t="shared" si="30"/>
        <v>207.8681392888974</v>
      </c>
      <c r="I39" s="21">
        <f t="shared" si="18"/>
        <v>1433.2009320435182</v>
      </c>
      <c r="J39">
        <f t="shared" si="31"/>
        <v>610.75321349573483</v>
      </c>
      <c r="K39">
        <f t="shared" si="7"/>
        <v>339.30734083096377</v>
      </c>
      <c r="L39">
        <f>J39-'Example 6.1'!$C$9</f>
        <v>151.08321349573481</v>
      </c>
      <c r="M39">
        <f>K39-'Example 6.1'!$C$10</f>
        <v>66.15734083096379</v>
      </c>
      <c r="N39">
        <f t="shared" si="33"/>
        <v>659.67000000000007</v>
      </c>
      <c r="O39">
        <f t="shared" si="33"/>
        <v>366.48333333333335</v>
      </c>
      <c r="P39">
        <f>N39-'Example 6.1'!$C$9</f>
        <v>200.00000000000006</v>
      </c>
      <c r="Q39">
        <f>O39-'Example 6.1'!$C$10</f>
        <v>93.333333333333371</v>
      </c>
      <c r="R39">
        <f t="shared" si="32"/>
        <v>0.70147534105547515</v>
      </c>
      <c r="S39">
        <f t="shared" si="20"/>
        <v>11.236554691683487</v>
      </c>
      <c r="T39">
        <f t="shared" si="26"/>
        <v>1211.5151495090813</v>
      </c>
      <c r="U39">
        <f t="shared" si="21"/>
        <v>369.36437485032968</v>
      </c>
      <c r="V39">
        <f t="shared" si="22"/>
        <v>766.67257921822397</v>
      </c>
      <c r="W39">
        <f t="shared" si="23"/>
        <v>233.74164000555609</v>
      </c>
      <c r="Y39">
        <f t="shared" si="27"/>
        <v>0.94469564047094079</v>
      </c>
      <c r="Z39">
        <f t="shared" si="9"/>
        <v>0.63282128954713257</v>
      </c>
      <c r="AA39">
        <f t="shared" si="10"/>
        <v>0.41790289764381833</v>
      </c>
      <c r="AB39">
        <f t="shared" si="11"/>
        <v>0.51967034822224345</v>
      </c>
      <c r="AC39">
        <f t="shared" si="12"/>
        <v>0.9396290019052741</v>
      </c>
      <c r="AD39">
        <f t="shared" si="13"/>
        <v>0.444753085309672</v>
      </c>
      <c r="AE39">
        <f t="shared" si="14"/>
        <v>2.2484385899284351</v>
      </c>
    </row>
    <row r="40" spans="2:31" x14ac:dyDescent="0.25">
      <c r="B40">
        <f t="shared" si="28"/>
        <v>94.913789179055186</v>
      </c>
      <c r="C40">
        <f t="shared" si="15"/>
        <v>28.937130847272925</v>
      </c>
      <c r="D40">
        <f t="shared" si="16"/>
        <v>0.64282128954713258</v>
      </c>
      <c r="E40">
        <f t="shared" si="25"/>
        <v>8.2057450076863658E-2</v>
      </c>
      <c r="F40">
        <f t="shared" si="29"/>
        <v>156.08207617663803</v>
      </c>
      <c r="G40" s="21">
        <f t="shared" si="17"/>
        <v>1076.1484555396369</v>
      </c>
      <c r="H40">
        <f t="shared" si="30"/>
        <v>206.08798282788695</v>
      </c>
      <c r="I40" s="21">
        <f t="shared" si="18"/>
        <v>1420.9271804824018</v>
      </c>
      <c r="J40">
        <f t="shared" si="31"/>
        <v>609.3139538349177</v>
      </c>
      <c r="K40">
        <f t="shared" si="7"/>
        <v>338.5077521305098</v>
      </c>
      <c r="L40">
        <f>J40-'Example 6.1'!$C$9</f>
        <v>149.64395383491768</v>
      </c>
      <c r="M40">
        <f>K40-'Example 6.1'!$C$10</f>
        <v>65.357752130509823</v>
      </c>
      <c r="N40">
        <f t="shared" si="33"/>
        <v>659.67000000000007</v>
      </c>
      <c r="O40">
        <f t="shared" si="33"/>
        <v>366.48333333333335</v>
      </c>
      <c r="P40">
        <f>N40-'Example 6.1'!$C$9</f>
        <v>200.00000000000006</v>
      </c>
      <c r="Q40">
        <f>O40-'Example 6.1'!$C$10</f>
        <v>93.333333333333371</v>
      </c>
      <c r="R40">
        <f t="shared" si="32"/>
        <v>0.6913780015881632</v>
      </c>
      <c r="S40">
        <f t="shared" si="20"/>
        <v>11.074810863319929</v>
      </c>
      <c r="T40">
        <f t="shared" si="26"/>
        <v>1210.0868202598806</v>
      </c>
      <c r="U40">
        <f t="shared" si="21"/>
        <v>368.92890861581725</v>
      </c>
      <c r="V40">
        <f t="shared" si="22"/>
        <v>777.86957026344567</v>
      </c>
      <c r="W40">
        <f t="shared" si="23"/>
        <v>237.1553567876359</v>
      </c>
      <c r="Y40">
        <f t="shared" si="27"/>
        <v>0.94913789179055186</v>
      </c>
      <c r="Z40">
        <f t="shared" si="9"/>
        <v>0.64282128954713258</v>
      </c>
      <c r="AA40">
        <f t="shared" si="10"/>
        <v>0.41091679657441532</v>
      </c>
      <c r="AB40">
        <f t="shared" si="11"/>
        <v>0.51521995706971735</v>
      </c>
      <c r="AC40">
        <f t="shared" si="12"/>
        <v>0.93741473583398216</v>
      </c>
      <c r="AD40">
        <f t="shared" si="13"/>
        <v>0.43835111703128748</v>
      </c>
      <c r="AE40">
        <f t="shared" si="14"/>
        <v>2.2812762672363043</v>
      </c>
    </row>
    <row r="41" spans="2:31" x14ac:dyDescent="0.25">
      <c r="B41">
        <f t="shared" si="28"/>
        <v>95.327584879839179</v>
      </c>
      <c r="C41">
        <f t="shared" si="15"/>
        <v>29.063288073121704</v>
      </c>
      <c r="D41">
        <f t="shared" si="16"/>
        <v>0.65282128954713259</v>
      </c>
      <c r="E41">
        <f t="shared" si="25"/>
        <v>8.2738449208796305E-2</v>
      </c>
      <c r="F41">
        <f t="shared" si="29"/>
        <v>153.50759217832487</v>
      </c>
      <c r="G41" s="21">
        <f t="shared" si="17"/>
        <v>1058.3980062474272</v>
      </c>
      <c r="H41">
        <f t="shared" si="30"/>
        <v>204.39172505716937</v>
      </c>
      <c r="I41" s="21">
        <f t="shared" si="18"/>
        <v>1409.231890255169</v>
      </c>
      <c r="J41">
        <f t="shared" si="31"/>
        <v>607.85905602922435</v>
      </c>
      <c r="K41">
        <f t="shared" si="7"/>
        <v>337.69947557179131</v>
      </c>
      <c r="L41">
        <f>J41-'Example 6.1'!$C$9</f>
        <v>148.18905602922433</v>
      </c>
      <c r="M41">
        <f>K41-'Example 6.1'!$C$10</f>
        <v>64.549475571791334</v>
      </c>
      <c r="N41">
        <f t="shared" si="33"/>
        <v>659.67000000000007</v>
      </c>
      <c r="O41">
        <f t="shared" si="33"/>
        <v>366.48333333333335</v>
      </c>
      <c r="P41">
        <f>N41-'Example 6.1'!$C$9</f>
        <v>200.00000000000006</v>
      </c>
      <c r="Q41">
        <f>O41-'Example 6.1'!$C$10</f>
        <v>93.333333333333371</v>
      </c>
      <c r="R41">
        <f t="shared" si="32"/>
        <v>0.68160162312790218</v>
      </c>
      <c r="S41">
        <f t="shared" si="20"/>
        <v>10.918208336009377</v>
      </c>
      <c r="T41">
        <f t="shared" si="26"/>
        <v>1208.6412560716917</v>
      </c>
      <c r="U41">
        <f t="shared" si="21"/>
        <v>368.48818782673533</v>
      </c>
      <c r="V41">
        <f t="shared" si="22"/>
        <v>789.02674338858787</v>
      </c>
      <c r="W41">
        <f t="shared" si="23"/>
        <v>240.55693395993535</v>
      </c>
      <c r="Y41">
        <f t="shared" si="27"/>
        <v>0.95327584879839178</v>
      </c>
      <c r="Z41">
        <f t="shared" si="9"/>
        <v>0.65282128954713259</v>
      </c>
      <c r="AA41">
        <f t="shared" si="10"/>
        <v>0.40413896055805104</v>
      </c>
      <c r="AB41">
        <f t="shared" si="11"/>
        <v>0.5109793126429234</v>
      </c>
      <c r="AC41">
        <f t="shared" si="12"/>
        <v>0.9351764108561843</v>
      </c>
      <c r="AD41">
        <f t="shared" si="13"/>
        <v>0.43215264613876292</v>
      </c>
      <c r="AE41">
        <f t="shared" si="14"/>
        <v>2.3139971695994257</v>
      </c>
    </row>
    <row r="42" spans="2:31" x14ac:dyDescent="0.25">
      <c r="B42">
        <f t="shared" si="28"/>
        <v>95.712974133729276</v>
      </c>
      <c r="C42">
        <f t="shared" si="15"/>
        <v>29.180784796868682</v>
      </c>
      <c r="D42">
        <f t="shared" si="16"/>
        <v>0.6628212895471326</v>
      </c>
      <c r="E42">
        <f t="shared" si="25"/>
        <v>8.3397751220151667E-2</v>
      </c>
      <c r="F42">
        <f t="shared" si="29"/>
        <v>151.00866097377738</v>
      </c>
      <c r="G42" s="21">
        <f t="shared" si="17"/>
        <v>1041.1684753355612</v>
      </c>
      <c r="H42">
        <f t="shared" si="30"/>
        <v>202.775903605595</v>
      </c>
      <c r="I42" s="21">
        <f t="shared" si="18"/>
        <v>1398.0911891437122</v>
      </c>
      <c r="J42">
        <f t="shared" si="31"/>
        <v>606.38879231466797</v>
      </c>
      <c r="K42">
        <f t="shared" si="7"/>
        <v>336.88266239703773</v>
      </c>
      <c r="L42">
        <f>J42-'Example 6.1'!$C$9</f>
        <v>146.71879231466795</v>
      </c>
      <c r="M42">
        <f>K42-'Example 6.1'!$C$10</f>
        <v>63.732662397037757</v>
      </c>
      <c r="N42">
        <f t="shared" si="33"/>
        <v>659.67000000000007</v>
      </c>
      <c r="O42">
        <f t="shared" si="33"/>
        <v>366.48333333333335</v>
      </c>
      <c r="P42">
        <f>N42-'Example 6.1'!$C$9</f>
        <v>200.00000000000006</v>
      </c>
      <c r="Q42">
        <f>O42-'Example 6.1'!$C$10</f>
        <v>93.333333333333371</v>
      </c>
      <c r="R42">
        <f t="shared" si="32"/>
        <v>0.67213163768371009</v>
      </c>
      <c r="S42">
        <f t="shared" si="20"/>
        <v>10.766513752971003</v>
      </c>
      <c r="T42">
        <f t="shared" si="26"/>
        <v>1207.1786660086016</v>
      </c>
      <c r="U42">
        <f t="shared" si="21"/>
        <v>368.04227622213466</v>
      </c>
      <c r="V42">
        <f t="shared" si="22"/>
        <v>800.14372011760861</v>
      </c>
      <c r="W42">
        <f t="shared" si="23"/>
        <v>243.94625613341728</v>
      </c>
      <c r="Y42">
        <f t="shared" si="27"/>
        <v>0.95712974133729278</v>
      </c>
      <c r="Z42">
        <f t="shared" si="9"/>
        <v>0.6628212895471326</v>
      </c>
      <c r="AA42">
        <f t="shared" si="10"/>
        <v>0.39756003214688351</v>
      </c>
      <c r="AB42">
        <f t="shared" si="11"/>
        <v>0.50693975901398747</v>
      </c>
      <c r="AC42">
        <f t="shared" si="12"/>
        <v>0.9329144458003823</v>
      </c>
      <c r="AD42">
        <f t="shared" si="13"/>
        <v>0.4261484361578321</v>
      </c>
      <c r="AE42">
        <f t="shared" si="14"/>
        <v>2.346600187052267</v>
      </c>
    </row>
    <row r="43" spans="2:31" x14ac:dyDescent="0.25">
      <c r="B43">
        <f t="shared" si="28"/>
        <v>96.071825123720402</v>
      </c>
      <c r="C43">
        <f t="shared" si="15"/>
        <v>29.290190586500124</v>
      </c>
      <c r="D43">
        <f t="shared" si="16"/>
        <v>0.67282128954713261</v>
      </c>
      <c r="E43">
        <f t="shared" si="25"/>
        <v>8.4035400121225873E-2</v>
      </c>
      <c r="F43">
        <f t="shared" si="29"/>
        <v>148.5819396816598</v>
      </c>
      <c r="G43" s="21">
        <f t="shared" si="17"/>
        <v>1024.4368144395207</v>
      </c>
      <c r="H43">
        <f t="shared" si="30"/>
        <v>201.23726831722945</v>
      </c>
      <c r="I43" s="21">
        <f t="shared" si="18"/>
        <v>1387.4826681029008</v>
      </c>
      <c r="J43">
        <f t="shared" si="31"/>
        <v>604.90343570144353</v>
      </c>
      <c r="K43">
        <f t="shared" si="7"/>
        <v>336.05746427857974</v>
      </c>
      <c r="L43">
        <f>J43-'Example 6.1'!$C$9</f>
        <v>145.23343570144351</v>
      </c>
      <c r="M43">
        <f>K43-'Example 6.1'!$C$10</f>
        <v>62.907464278579766</v>
      </c>
      <c r="N43">
        <f t="shared" si="33"/>
        <v>659.67000000000007</v>
      </c>
      <c r="O43">
        <f t="shared" si="33"/>
        <v>366.48333333333335</v>
      </c>
      <c r="P43">
        <f>N43-'Example 6.1'!$C$9</f>
        <v>200.00000000000006</v>
      </c>
      <c r="Q43">
        <f>O43-'Example 6.1'!$C$10</f>
        <v>93.333333333333371</v>
      </c>
      <c r="R43">
        <f t="shared" si="32"/>
        <v>0.66295434297135181</v>
      </c>
      <c r="S43">
        <f t="shared" si="20"/>
        <v>10.619507624712881</v>
      </c>
      <c r="T43">
        <f t="shared" si="26"/>
        <v>1205.6992601934685</v>
      </c>
      <c r="U43">
        <f t="shared" si="21"/>
        <v>367.59123786386237</v>
      </c>
      <c r="V43">
        <f t="shared" si="22"/>
        <v>811.22013104939322</v>
      </c>
      <c r="W43">
        <f t="shared" si="23"/>
        <v>247.32321068579063</v>
      </c>
      <c r="Y43">
        <f t="shared" si="27"/>
        <v>0.960718251237204</v>
      </c>
      <c r="Z43">
        <f t="shared" si="9"/>
        <v>0.67282128954713261</v>
      </c>
      <c r="AA43">
        <f t="shared" si="10"/>
        <v>0.39117121054761561</v>
      </c>
      <c r="AB43">
        <f t="shared" si="11"/>
        <v>0.50309317079307359</v>
      </c>
      <c r="AC43">
        <f t="shared" si="12"/>
        <v>0.93062926068613772</v>
      </c>
      <c r="AD43">
        <f t="shared" si="13"/>
        <v>0.42032979949417398</v>
      </c>
      <c r="AE43">
        <f t="shared" si="14"/>
        <v>2.3790842362435463</v>
      </c>
    </row>
    <row r="44" spans="2:31" x14ac:dyDescent="0.25">
      <c r="B44">
        <f t="shared" si="28"/>
        <v>96.405864967440948</v>
      </c>
      <c r="C44">
        <f t="shared" si="15"/>
        <v>29.392032002268582</v>
      </c>
      <c r="D44">
        <f t="shared" si="16"/>
        <v>0.68282128954713261</v>
      </c>
      <c r="E44">
        <f t="shared" si="25"/>
        <v>8.4651450347522916E-2</v>
      </c>
      <c r="F44">
        <f t="shared" si="29"/>
        <v>146.22428136793351</v>
      </c>
      <c r="G44" s="21">
        <f t="shared" si="17"/>
        <v>1008.1813262043732</v>
      </c>
      <c r="H44">
        <f t="shared" si="30"/>
        <v>199.77276576969743</v>
      </c>
      <c r="I44" s="21">
        <f t="shared" si="18"/>
        <v>1377.3852745182789</v>
      </c>
      <c r="J44">
        <f t="shared" si="31"/>
        <v>603.40325986472203</v>
      </c>
      <c r="K44">
        <f t="shared" si="7"/>
        <v>335.22403325817891</v>
      </c>
      <c r="L44">
        <f>J44-'Example 6.1'!$C$9</f>
        <v>143.73325986472202</v>
      </c>
      <c r="M44">
        <f>K44-'Example 6.1'!$C$10</f>
        <v>62.074033258178929</v>
      </c>
      <c r="N44">
        <f t="shared" si="33"/>
        <v>659.67000000000007</v>
      </c>
      <c r="O44">
        <f t="shared" si="33"/>
        <v>366.48333333333335</v>
      </c>
      <c r="P44">
        <f>N44-'Example 6.1'!$C$9</f>
        <v>200.00000000000006</v>
      </c>
      <c r="Q44">
        <f>O44-'Example 6.1'!$C$10</f>
        <v>93.333333333333371</v>
      </c>
      <c r="R44">
        <f t="shared" si="32"/>
        <v>0.65405683903046385</v>
      </c>
      <c r="S44">
        <f t="shared" si="20"/>
        <v>10.476983313735925</v>
      </c>
      <c r="T44">
        <f t="shared" si="26"/>
        <v>1204.2032497349026</v>
      </c>
      <c r="U44">
        <f t="shared" si="21"/>
        <v>367.1351371142996</v>
      </c>
      <c r="V44">
        <f t="shared" si="22"/>
        <v>822.25561586083393</v>
      </c>
      <c r="W44">
        <f t="shared" si="23"/>
        <v>250.68768776244937</v>
      </c>
      <c r="Y44">
        <f t="shared" si="27"/>
        <v>0.96405864967440946</v>
      </c>
      <c r="Z44">
        <f t="shared" si="9"/>
        <v>0.68282128954713261</v>
      </c>
      <c r="AA44">
        <f t="shared" si="10"/>
        <v>0.38496421083679006</v>
      </c>
      <c r="AB44">
        <f t="shared" si="11"/>
        <v>0.49943191442424356</v>
      </c>
      <c r="AC44">
        <f t="shared" si="12"/>
        <v>0.92832127655606178</v>
      </c>
      <c r="AD44">
        <f t="shared" si="13"/>
        <v>0.41468855724706849</v>
      </c>
      <c r="AE44">
        <f t="shared" si="14"/>
        <v>2.4114482604452645</v>
      </c>
    </row>
    <row r="45" spans="2:31" x14ac:dyDescent="0.25">
      <c r="B45">
        <f t="shared" si="28"/>
        <v>96.716692061902222</v>
      </c>
      <c r="C45">
        <f t="shared" si="15"/>
        <v>29.486796360336044</v>
      </c>
      <c r="D45">
        <f t="shared" si="16"/>
        <v>0.69282128954713262</v>
      </c>
      <c r="E45">
        <f t="shared" si="25"/>
        <v>8.5245966542694798E-2</v>
      </c>
      <c r="F45">
        <f t="shared" si="29"/>
        <v>143.93272089592259</v>
      </c>
      <c r="G45" s="21">
        <f t="shared" si="17"/>
        <v>992.38156672437117</v>
      </c>
      <c r="H45">
        <f t="shared" si="30"/>
        <v>198.37952513414339</v>
      </c>
      <c r="I45" s="21">
        <f t="shared" si="18"/>
        <v>1367.7792147138864</v>
      </c>
      <c r="J45">
        <f t="shared" si="31"/>
        <v>601.88853903666495</v>
      </c>
      <c r="K45">
        <f t="shared" si="7"/>
        <v>334.3825216870361</v>
      </c>
      <c r="L45">
        <f>J45-'Example 6.1'!$C$9</f>
        <v>142.21853903666494</v>
      </c>
      <c r="M45">
        <f>K45-'Example 6.1'!$C$10</f>
        <v>61.232521687036126</v>
      </c>
      <c r="N45">
        <f t="shared" si="33"/>
        <v>659.67000000000007</v>
      </c>
      <c r="O45">
        <f t="shared" si="33"/>
        <v>366.48333333333335</v>
      </c>
      <c r="P45">
        <f>N45-'Example 6.1'!$C$9</f>
        <v>200.00000000000006</v>
      </c>
      <c r="Q45">
        <f>O45-'Example 6.1'!$C$10</f>
        <v>93.333333333333371</v>
      </c>
      <c r="R45">
        <f t="shared" si="32"/>
        <v>0.64542697033078522</v>
      </c>
      <c r="S45">
        <f t="shared" si="20"/>
        <v>10.338746107164871</v>
      </c>
      <c r="T45">
        <f t="shared" si="26"/>
        <v>1202.6908466547734</v>
      </c>
      <c r="U45">
        <f t="shared" si="21"/>
        <v>366.67403861426021</v>
      </c>
      <c r="V45">
        <f t="shared" si="22"/>
        <v>833.24982330589285</v>
      </c>
      <c r="W45">
        <f t="shared" si="23"/>
        <v>254.03958027618685</v>
      </c>
      <c r="Y45">
        <f t="shared" si="27"/>
        <v>0.96716692061902221</v>
      </c>
      <c r="Z45">
        <f t="shared" si="9"/>
        <v>0.69282128954713262</v>
      </c>
      <c r="AA45">
        <f t="shared" si="10"/>
        <v>0.37893122670830093</v>
      </c>
      <c r="AB45">
        <f t="shared" si="11"/>
        <v>0.49594881283535847</v>
      </c>
      <c r="AC45">
        <f t="shared" si="12"/>
        <v>0.92599091530968192</v>
      </c>
      <c r="AD45">
        <f t="shared" si="13"/>
        <v>0.40921700250328469</v>
      </c>
      <c r="AE45">
        <f t="shared" si="14"/>
        <v>2.4436912295499584</v>
      </c>
    </row>
    <row r="46" spans="2:31" x14ac:dyDescent="0.25">
      <c r="B46">
        <f t="shared" si="28"/>
        <v>97.005787195250164</v>
      </c>
      <c r="C46">
        <f t="shared" si="15"/>
        <v>29.574935120503099</v>
      </c>
      <c r="D46">
        <f t="shared" si="16"/>
        <v>0.70282128954713263</v>
      </c>
      <c r="E46">
        <f t="shared" si="25"/>
        <v>8.5819023335715935E-2</v>
      </c>
      <c r="F46">
        <f t="shared" si="29"/>
        <v>141.70446198442863</v>
      </c>
      <c r="G46" s="21">
        <f t="shared" si="17"/>
        <v>977.01825631175916</v>
      </c>
      <c r="H46">
        <f t="shared" si="30"/>
        <v>197.05484524318595</v>
      </c>
      <c r="I46" s="21">
        <f t="shared" si="18"/>
        <v>1358.6458647889087</v>
      </c>
      <c r="J46">
        <f t="shared" si="31"/>
        <v>600.35954789972232</v>
      </c>
      <c r="K46">
        <f t="shared" si="7"/>
        <v>333.53308216651237</v>
      </c>
      <c r="L46">
        <f>J46-'Example 6.1'!$C$9</f>
        <v>140.6895478997223</v>
      </c>
      <c r="M46">
        <f>K46-'Example 6.1'!$C$10</f>
        <v>60.383082166512395</v>
      </c>
      <c r="N46">
        <f t="shared" si="33"/>
        <v>659.67000000000007</v>
      </c>
      <c r="O46">
        <f t="shared" si="33"/>
        <v>366.48333333333335</v>
      </c>
      <c r="P46">
        <f>N46-'Example 6.1'!$C$9</f>
        <v>200.00000000000006</v>
      </c>
      <c r="Q46">
        <f>O46-'Example 6.1'!$C$10</f>
        <v>93.333333333333371</v>
      </c>
      <c r="R46">
        <f t="shared" si="32"/>
        <v>0.63705327282079038</v>
      </c>
      <c r="S46">
        <f t="shared" si="20"/>
        <v>10.204612368548919</v>
      </c>
      <c r="T46">
        <f t="shared" si="26"/>
        <v>1201.162263816276</v>
      </c>
      <c r="U46">
        <f t="shared" si="21"/>
        <v>366.20800726105978</v>
      </c>
      <c r="V46">
        <f t="shared" si="22"/>
        <v>844.20241121070819</v>
      </c>
      <c r="W46">
        <f t="shared" si="23"/>
        <v>257.37878390570376</v>
      </c>
      <c r="Y46">
        <f t="shared" si="27"/>
        <v>0.97005787195250159</v>
      </c>
      <c r="Z46">
        <f t="shared" si="9"/>
        <v>0.70282128954713263</v>
      </c>
      <c r="AA46">
        <f t="shared" si="10"/>
        <v>0.373064896401333</v>
      </c>
      <c r="AB46">
        <f t="shared" si="11"/>
        <v>0.49263711310796487</v>
      </c>
      <c r="AC46">
        <f t="shared" si="12"/>
        <v>0.92363859953928373</v>
      </c>
      <c r="AD46">
        <f t="shared" si="13"/>
        <v>0.40390786676457652</v>
      </c>
      <c r="AE46">
        <f t="shared" si="14"/>
        <v>2.4758121400563464</v>
      </c>
    </row>
    <row r="47" spans="2:31" x14ac:dyDescent="0.25">
      <c r="B47">
        <f t="shared" si="28"/>
        <v>97.274523563784172</v>
      </c>
      <c r="C47">
        <f t="shared" si="15"/>
        <v>29.656866940178102</v>
      </c>
      <c r="D47">
        <f t="shared" si="16"/>
        <v>0.71282128954713264</v>
      </c>
      <c r="E47">
        <f t="shared" si="25"/>
        <v>8.6370705112701826E-2</v>
      </c>
      <c r="F47">
        <f t="shared" si="29"/>
        <v>139.53686535526745</v>
      </c>
      <c r="G47" s="21">
        <f t="shared" si="17"/>
        <v>962.07319777688383</v>
      </c>
      <c r="H47">
        <f t="shared" si="30"/>
        <v>195.79618274823946</v>
      </c>
      <c r="I47" s="21">
        <f t="shared" si="18"/>
        <v>1349.9676889652515</v>
      </c>
      <c r="J47">
        <f t="shared" si="31"/>
        <v>598.81656148127217</v>
      </c>
      <c r="K47">
        <f t="shared" si="7"/>
        <v>332.67586748959565</v>
      </c>
      <c r="L47">
        <f>J47-'Example 6.1'!$C$9</f>
        <v>139.14656148127216</v>
      </c>
      <c r="M47">
        <f>K47-'Example 6.1'!$C$10</f>
        <v>59.525867489595669</v>
      </c>
      <c r="N47">
        <f t="shared" si="33"/>
        <v>659.67000000000007</v>
      </c>
      <c r="O47">
        <f t="shared" si="33"/>
        <v>366.48333333333335</v>
      </c>
      <c r="P47">
        <f>N47-'Example 6.1'!$C$9</f>
        <v>200.00000000000006</v>
      </c>
      <c r="Q47">
        <f>O47-'Example 6.1'!$C$10</f>
        <v>93.333333333333371</v>
      </c>
      <c r="R47">
        <f t="shared" si="32"/>
        <v>0.62892492543336964</v>
      </c>
      <c r="S47">
        <f t="shared" si="20"/>
        <v>10.074408761057414</v>
      </c>
      <c r="T47">
        <f t="shared" si="26"/>
        <v>1199.6177148525981</v>
      </c>
      <c r="U47">
        <f t="shared" si="21"/>
        <v>365.73710818676773</v>
      </c>
      <c r="V47">
        <f t="shared" si="22"/>
        <v>855.11304646481335</v>
      </c>
      <c r="W47">
        <f t="shared" si="23"/>
        <v>260.70519709293092</v>
      </c>
      <c r="Y47">
        <f t="shared" si="27"/>
        <v>0.97274523563784177</v>
      </c>
      <c r="Z47">
        <f t="shared" si="9"/>
        <v>0.71282128954713264</v>
      </c>
      <c r="AA47">
        <f t="shared" si="10"/>
        <v>0.3673582714964182</v>
      </c>
      <c r="AB47">
        <f t="shared" si="11"/>
        <v>0.48949045687059867</v>
      </c>
      <c r="AC47">
        <f t="shared" si="12"/>
        <v>0.92126475236781591</v>
      </c>
      <c r="AD47">
        <f t="shared" si="13"/>
        <v>0.39875428920105915</v>
      </c>
      <c r="AE47">
        <f t="shared" si="14"/>
        <v>2.5078100150435785</v>
      </c>
    </row>
    <row r="48" spans="2:31" x14ac:dyDescent="0.25">
      <c r="B48">
        <f t="shared" si="28"/>
        <v>97.524175815340968</v>
      </c>
      <c r="C48">
        <f t="shared" si="15"/>
        <v>29.732980431506395</v>
      </c>
      <c r="D48">
        <f t="shared" si="16"/>
        <v>0.72282128954713265</v>
      </c>
      <c r="E48">
        <f t="shared" si="25"/>
        <v>8.6901105783779922E-2</v>
      </c>
      <c r="F48">
        <f t="shared" si="29"/>
        <v>137.42743786472818</v>
      </c>
      <c r="G48" s="21">
        <f t="shared" si="17"/>
        <v>947.52920149221325</v>
      </c>
      <c r="H48">
        <f t="shared" si="30"/>
        <v>194.6011412607055</v>
      </c>
      <c r="I48" s="21">
        <f t="shared" si="18"/>
        <v>1341.7281647186619</v>
      </c>
      <c r="J48">
        <f t="shared" si="31"/>
        <v>597.25985504965854</v>
      </c>
      <c r="K48">
        <f t="shared" si="7"/>
        <v>331.81103058314363</v>
      </c>
      <c r="L48">
        <f>J48-'Example 6.1'!$C$9</f>
        <v>137.58985504965852</v>
      </c>
      <c r="M48">
        <f>K48-'Example 6.1'!$C$10</f>
        <v>58.661030583143656</v>
      </c>
      <c r="N48">
        <f t="shared" si="33"/>
        <v>659.67000000000007</v>
      </c>
      <c r="O48">
        <f t="shared" si="33"/>
        <v>366.48333333333335</v>
      </c>
      <c r="P48">
        <f>N48-'Example 6.1'!$C$9</f>
        <v>200.00000000000006</v>
      </c>
      <c r="Q48">
        <f>O48-'Example 6.1'!$C$10</f>
        <v>93.333333333333371</v>
      </c>
      <c r="R48">
        <f t="shared" si="32"/>
        <v>0.62103170561691745</v>
      </c>
      <c r="S48">
        <f t="shared" si="20"/>
        <v>9.947971535156368</v>
      </c>
      <c r="T48">
        <f t="shared" si="26"/>
        <v>1198.0574140962215</v>
      </c>
      <c r="U48">
        <f t="shared" si="21"/>
        <v>365.26140673665293</v>
      </c>
      <c r="V48">
        <f t="shared" si="22"/>
        <v>865.9814050085339</v>
      </c>
      <c r="W48">
        <f t="shared" si="23"/>
        <v>264.0187210391872</v>
      </c>
      <c r="Y48">
        <f t="shared" si="27"/>
        <v>0.97524175815340963</v>
      </c>
      <c r="Z48">
        <f t="shared" si="9"/>
        <v>0.72282128954713265</v>
      </c>
      <c r="AA48">
        <f t="shared" si="10"/>
        <v>0.36180478830186197</v>
      </c>
      <c r="AB48">
        <f t="shared" si="11"/>
        <v>0.48650285315176378</v>
      </c>
      <c r="AC48">
        <f t="shared" si="12"/>
        <v>0.9188697972889478</v>
      </c>
      <c r="AD48">
        <f t="shared" si="13"/>
        <v>0.39374978845679576</v>
      </c>
      <c r="AE48">
        <f t="shared" si="14"/>
        <v>2.5396839041342747</v>
      </c>
    </row>
    <row r="49" spans="2:31" x14ac:dyDescent="0.25">
      <c r="B49">
        <f t="shared" si="28"/>
        <v>97.755928225307457</v>
      </c>
      <c r="C49">
        <f t="shared" si="15"/>
        <v>29.803636654057154</v>
      </c>
      <c r="D49">
        <f t="shared" si="16"/>
        <v>0.73282128954713266</v>
      </c>
      <c r="E49">
        <f t="shared" si="25"/>
        <v>8.741032854541933E-2</v>
      </c>
      <c r="F49">
        <f t="shared" si="29"/>
        <v>135.37382252497449</v>
      </c>
      <c r="G49" s="21">
        <f t="shared" si="17"/>
        <v>933.37001659229304</v>
      </c>
      <c r="H49">
        <f t="shared" si="30"/>
        <v>193.46746138305275</v>
      </c>
      <c r="I49" s="21">
        <f t="shared" si="18"/>
        <v>1333.9117140454168</v>
      </c>
      <c r="J49">
        <f t="shared" si="31"/>
        <v>595.68970401168383</v>
      </c>
      <c r="K49">
        <f t="shared" si="7"/>
        <v>330.93872445093547</v>
      </c>
      <c r="L49">
        <f>J49-'Example 6.1'!$C$9</f>
        <v>136.01970401168381</v>
      </c>
      <c r="M49">
        <f>K49-'Example 6.1'!$C$10</f>
        <v>57.78872445093549</v>
      </c>
      <c r="N49">
        <f t="shared" si="33"/>
        <v>659.67000000000007</v>
      </c>
      <c r="O49">
        <f t="shared" si="33"/>
        <v>366.48333333333335</v>
      </c>
      <c r="P49">
        <f>N49-'Example 6.1'!$C$9</f>
        <v>200.00000000000006</v>
      </c>
      <c r="Q49">
        <f>O49-'Example 6.1'!$C$10</f>
        <v>93.333333333333371</v>
      </c>
      <c r="R49">
        <f t="shared" si="32"/>
        <v>0.61336394850731535</v>
      </c>
      <c r="S49">
        <f t="shared" si="20"/>
        <v>9.8251458746064912</v>
      </c>
      <c r="T49">
        <f t="shared" si="26"/>
        <v>1196.4815765088979</v>
      </c>
      <c r="U49">
        <f t="shared" si="21"/>
        <v>364.78096844783477</v>
      </c>
      <c r="V49">
        <f t="shared" si="22"/>
        <v>876.80717181663681</v>
      </c>
      <c r="W49">
        <f t="shared" si="23"/>
        <v>267.31925970019415</v>
      </c>
      <c r="Y49">
        <f t="shared" si="27"/>
        <v>0.97755928225307454</v>
      </c>
      <c r="Z49">
        <f t="shared" si="9"/>
        <v>0.73282128954713266</v>
      </c>
      <c r="AA49">
        <f t="shared" si="10"/>
        <v>0.35639824158311723</v>
      </c>
      <c r="AB49">
        <f t="shared" si="11"/>
        <v>0.48366865345763188</v>
      </c>
      <c r="AC49">
        <f t="shared" si="12"/>
        <v>0.91645415800936336</v>
      </c>
      <c r="AD49">
        <f t="shared" si="13"/>
        <v>0.3888882367638033</v>
      </c>
      <c r="AE49">
        <f t="shared" si="14"/>
        <v>2.5714328834465721</v>
      </c>
    </row>
    <row r="50" spans="2:31" x14ac:dyDescent="0.25">
      <c r="B50">
        <f t="shared" si="28"/>
        <v>97.970882098682765</v>
      </c>
      <c r="C50">
        <f t="shared" si="15"/>
        <v>29.869171371549626</v>
      </c>
      <c r="D50">
        <f t="shared" si="16"/>
        <v>0.74282128954713267</v>
      </c>
      <c r="E50">
        <f t="shared" si="25"/>
        <v>8.7898485638620946E-2</v>
      </c>
      <c r="F50">
        <f t="shared" si="29"/>
        <v>133.37378933152709</v>
      </c>
      <c r="G50" s="21">
        <f t="shared" si="17"/>
        <v>919.58026773143968</v>
      </c>
      <c r="H50">
        <f t="shared" si="30"/>
        <v>192.39301154592897</v>
      </c>
      <c r="I50" s="21">
        <f t="shared" si="18"/>
        <v>1326.5036402864091</v>
      </c>
      <c r="J50">
        <f t="shared" si="31"/>
        <v>594.10638381160402</v>
      </c>
      <c r="K50">
        <f t="shared" si="7"/>
        <v>330.05910211755776</v>
      </c>
      <c r="L50">
        <f>J50-'Example 6.1'!$C$9</f>
        <v>134.436383811604</v>
      </c>
      <c r="M50">
        <f>K50-'Example 6.1'!$C$10</f>
        <v>56.909102117557779</v>
      </c>
      <c r="N50">
        <f t="shared" si="33"/>
        <v>659.67000000000007</v>
      </c>
      <c r="O50">
        <f t="shared" si="33"/>
        <v>366.48333333333335</v>
      </c>
      <c r="P50">
        <f>N50-'Example 6.1'!$C$9</f>
        <v>200.00000000000006</v>
      </c>
      <c r="Q50">
        <f>O50-'Example 6.1'!$C$10</f>
        <v>93.333333333333371</v>
      </c>
      <c r="R50">
        <f t="shared" si="32"/>
        <v>0.60591250939770591</v>
      </c>
      <c r="S50">
        <f t="shared" si="20"/>
        <v>9.7057852952867769</v>
      </c>
      <c r="T50">
        <f t="shared" si="26"/>
        <v>1194.8904176123292</v>
      </c>
      <c r="U50">
        <f t="shared" si="21"/>
        <v>364.29585902814915</v>
      </c>
      <c r="V50">
        <f t="shared" si="22"/>
        <v>887.59004087830226</v>
      </c>
      <c r="W50">
        <f t="shared" si="23"/>
        <v>270.60671977997021</v>
      </c>
      <c r="Y50">
        <f t="shared" si="27"/>
        <v>0.97970882098682766</v>
      </c>
      <c r="Z50">
        <f t="shared" si="9"/>
        <v>0.74282128954713267</v>
      </c>
      <c r="AA50">
        <f t="shared" si="10"/>
        <v>0.35113276041432617</v>
      </c>
      <c r="AB50">
        <f t="shared" si="11"/>
        <v>0.4809825288648224</v>
      </c>
      <c r="AC50">
        <f t="shared" si="12"/>
        <v>0.91401825829336814</v>
      </c>
      <c r="AD50">
        <f t="shared" si="13"/>
        <v>0.38416383614694127</v>
      </c>
      <c r="AE50">
        <f t="shared" si="14"/>
        <v>2.6030560555353879</v>
      </c>
    </row>
    <row r="51" spans="2:31" x14ac:dyDescent="0.25">
      <c r="B51">
        <f t="shared" si="28"/>
        <v>98.170062480464608</v>
      </c>
      <c r="C51">
        <f t="shared" si="15"/>
        <v>29.929897097702625</v>
      </c>
      <c r="D51">
        <f t="shared" si="16"/>
        <v>0.75282128954713268</v>
      </c>
      <c r="E51">
        <f t="shared" si="25"/>
        <v>8.8365698103368501E-2</v>
      </c>
      <c r="F51">
        <f t="shared" si="29"/>
        <v>131.42522682187897</v>
      </c>
      <c r="G51" s="21">
        <f t="shared" si="17"/>
        <v>906.14539688241814</v>
      </c>
      <c r="H51">
        <f t="shared" si="30"/>
        <v>191.37577957635369</v>
      </c>
      <c r="I51" s="21">
        <f t="shared" si="18"/>
        <v>1319.4900699918603</v>
      </c>
      <c r="J51">
        <f t="shared" si="31"/>
        <v>592.51016983167881</v>
      </c>
      <c r="K51">
        <f t="shared" si="7"/>
        <v>329.17231657315489</v>
      </c>
      <c r="L51">
        <f>J51-'Example 6.1'!$C$9</f>
        <v>132.84016983167879</v>
      </c>
      <c r="M51">
        <f>K51-'Example 6.1'!$C$10</f>
        <v>56.02231657315491</v>
      </c>
      <c r="N51">
        <f t="shared" si="33"/>
        <v>659.67000000000007</v>
      </c>
      <c r="O51">
        <f t="shared" si="33"/>
        <v>366.48333333333335</v>
      </c>
      <c r="P51">
        <f>N51-'Example 6.1'!$C$9</f>
        <v>200.00000000000006</v>
      </c>
      <c r="Q51">
        <f>O51-'Example 6.1'!$C$10</f>
        <v>93.333333333333371</v>
      </c>
      <c r="R51">
        <f t="shared" si="32"/>
        <v>0.59866872919941239</v>
      </c>
      <c r="S51">
        <f t="shared" si="20"/>
        <v>9.5897510919316193</v>
      </c>
      <c r="T51">
        <f t="shared" si="26"/>
        <v>1193.2841534195866</v>
      </c>
      <c r="U51">
        <f t="shared" si="21"/>
        <v>363.80614433523982</v>
      </c>
      <c r="V51">
        <f t="shared" si="22"/>
        <v>898.32971517349165</v>
      </c>
      <c r="W51">
        <f t="shared" si="23"/>
        <v>273.88101072362554</v>
      </c>
      <c r="Y51">
        <f t="shared" si="27"/>
        <v>0.98170062480464604</v>
      </c>
      <c r="Z51">
        <f t="shared" si="9"/>
        <v>0.75282128954713268</v>
      </c>
      <c r="AA51">
        <f t="shared" si="10"/>
        <v>0.34600278595471262</v>
      </c>
      <c r="AB51">
        <f t="shared" si="11"/>
        <v>0.47843944894088425</v>
      </c>
      <c r="AC51">
        <f t="shared" si="12"/>
        <v>0.91156252180988773</v>
      </c>
      <c r="AD51">
        <f t="shared" si="13"/>
        <v>0.37957109652526244</v>
      </c>
      <c r="AE51">
        <f t="shared" si="14"/>
        <v>2.634552549323113</v>
      </c>
    </row>
    <row r="52" spans="2:31" x14ac:dyDescent="0.25">
      <c r="B52">
        <f t="shared" si="28"/>
        <v>98.354424246947076</v>
      </c>
      <c r="C52">
        <f t="shared" si="15"/>
        <v>29.986104953337524</v>
      </c>
      <c r="D52">
        <f t="shared" si="16"/>
        <v>0.76282128954713269</v>
      </c>
      <c r="E52">
        <f t="shared" si="25"/>
        <v>8.8812095529733848E-2</v>
      </c>
      <c r="F52">
        <f t="shared" si="29"/>
        <v>129.52613429815509</v>
      </c>
      <c r="G52" s="21">
        <f t="shared" si="17"/>
        <v>893.05160971354769</v>
      </c>
      <c r="H52">
        <f t="shared" si="30"/>
        <v>190.4138649299085</v>
      </c>
      <c r="I52" s="21">
        <f t="shared" si="18"/>
        <v>1312.8578993641358</v>
      </c>
      <c r="J52">
        <f t="shared" si="31"/>
        <v>590.90133729432046</v>
      </c>
      <c r="K52">
        <f t="shared" si="7"/>
        <v>328.27852071906693</v>
      </c>
      <c r="L52">
        <f>J52-'Example 6.1'!$C$9</f>
        <v>131.23133729432044</v>
      </c>
      <c r="M52">
        <f>K52-'Example 6.1'!$C$10</f>
        <v>55.128520719066955</v>
      </c>
      <c r="N52">
        <f t="shared" si="33"/>
        <v>659.67000000000007</v>
      </c>
      <c r="O52">
        <f t="shared" si="33"/>
        <v>366.48333333333335</v>
      </c>
      <c r="P52">
        <f>N52-'Example 6.1'!$C$9</f>
        <v>200.00000000000006</v>
      </c>
      <c r="Q52">
        <f>O52-'Example 6.1'!$C$10</f>
        <v>93.333333333333371</v>
      </c>
      <c r="R52">
        <f t="shared" si="32"/>
        <v>0.59162440261952209</v>
      </c>
      <c r="S52">
        <f t="shared" si="20"/>
        <v>9.4769118283847114</v>
      </c>
      <c r="T52">
        <f t="shared" si="26"/>
        <v>1191.6630003673001</v>
      </c>
      <c r="U52">
        <f t="shared" si="21"/>
        <v>363.3118903558842</v>
      </c>
      <c r="V52">
        <f t="shared" si="22"/>
        <v>909.02590664578918</v>
      </c>
      <c r="W52">
        <f t="shared" si="23"/>
        <v>277.14204470908209</v>
      </c>
      <c r="Y52">
        <f t="shared" si="27"/>
        <v>0.98354424246947081</v>
      </c>
      <c r="Z52">
        <f t="shared" si="9"/>
        <v>0.76282128954713269</v>
      </c>
      <c r="AA52">
        <f t="shared" si="10"/>
        <v>0.34100305097320266</v>
      </c>
      <c r="AB52">
        <f t="shared" si="11"/>
        <v>0.47603466232477126</v>
      </c>
      <c r="AC52">
        <f t="shared" si="12"/>
        <v>0.90908737198192646</v>
      </c>
      <c r="AD52">
        <f t="shared" si="13"/>
        <v>0.37510481553579661</v>
      </c>
      <c r="AE52">
        <f t="shared" si="14"/>
        <v>2.6659215200199662</v>
      </c>
    </row>
    <row r="53" spans="2:31" x14ac:dyDescent="0.25">
      <c r="B53">
        <f t="shared" si="28"/>
        <v>98.524857642077663</v>
      </c>
      <c r="C53">
        <f t="shared" si="15"/>
        <v>30.038066354291971</v>
      </c>
      <c r="D53">
        <f t="shared" si="16"/>
        <v>0.77282128954713269</v>
      </c>
      <c r="E53">
        <f t="shared" si="25"/>
        <v>8.9237815806027493E-2</v>
      </c>
      <c r="F53">
        <f t="shared" si="29"/>
        <v>127.67461465367148</v>
      </c>
      <c r="G53" s="21">
        <f t="shared" si="17"/>
        <v>880.28582612954801</v>
      </c>
      <c r="H53">
        <f t="shared" si="30"/>
        <v>189.50547152677649</v>
      </c>
      <c r="I53" s="21">
        <f t="shared" si="18"/>
        <v>1306.5947448639574</v>
      </c>
      <c r="J53">
        <f t="shared" si="31"/>
        <v>589.28016116588879</v>
      </c>
      <c r="K53">
        <f t="shared" si="7"/>
        <v>327.37786731438263</v>
      </c>
      <c r="L53">
        <f>J53-'Example 6.1'!$C$9</f>
        <v>129.61016116588877</v>
      </c>
      <c r="M53">
        <f>K53-'Example 6.1'!$C$10</f>
        <v>54.22786731438265</v>
      </c>
      <c r="N53">
        <f t="shared" ref="N53:O68" si="34">N52</f>
        <v>659.67000000000007</v>
      </c>
      <c r="O53">
        <f t="shared" si="34"/>
        <v>366.48333333333335</v>
      </c>
      <c r="P53">
        <f>N53-'Example 6.1'!$C$9</f>
        <v>200.00000000000006</v>
      </c>
      <c r="Q53">
        <f>O53-'Example 6.1'!$C$10</f>
        <v>93.333333333333371</v>
      </c>
      <c r="R53">
        <f t="shared" si="32"/>
        <v>0.58477174880905591</v>
      </c>
      <c r="S53">
        <f t="shared" si="20"/>
        <v>9.3671428674279102</v>
      </c>
      <c r="T53">
        <f t="shared" si="26"/>
        <v>1190.0271752486544</v>
      </c>
      <c r="U53">
        <f t="shared" si="21"/>
        <v>362.81316318556537</v>
      </c>
      <c r="V53">
        <f t="shared" si="22"/>
        <v>919.67833617179679</v>
      </c>
      <c r="W53">
        <f t="shared" si="23"/>
        <v>280.38973663774294</v>
      </c>
      <c r="Y53">
        <f t="shared" si="27"/>
        <v>0.98524857642077668</v>
      </c>
      <c r="Z53">
        <f t="shared" si="9"/>
        <v>0.77282128954713269</v>
      </c>
      <c r="AA53">
        <f t="shared" si="10"/>
        <v>0.33612856096292892</v>
      </c>
      <c r="AB53">
        <f t="shared" si="11"/>
        <v>0.4737636788169412</v>
      </c>
      <c r="AC53">
        <f t="shared" si="12"/>
        <v>0.90659323183855822</v>
      </c>
      <c r="AD53">
        <f t="shared" si="13"/>
        <v>0.37076005992374883</v>
      </c>
      <c r="AE53">
        <f t="shared" si="14"/>
        <v>2.6971621490342343</v>
      </c>
    </row>
    <row r="54" spans="2:31" x14ac:dyDescent="0.25">
      <c r="B54">
        <f t="shared" si="28"/>
        <v>98.682193315657571</v>
      </c>
      <c r="C54">
        <f t="shared" si="15"/>
        <v>30.086034547456578</v>
      </c>
      <c r="D54">
        <f t="shared" si="16"/>
        <v>0.7828212895471327</v>
      </c>
      <c r="E54">
        <f t="shared" si="25"/>
        <v>8.9643004864376513E-2</v>
      </c>
      <c r="F54">
        <f t="shared" si="29"/>
        <v>125.86886774939765</v>
      </c>
      <c r="G54" s="21">
        <f t="shared" si="17"/>
        <v>867.83563460383698</v>
      </c>
      <c r="H54">
        <f t="shared" si="30"/>
        <v>188.64890113764139</v>
      </c>
      <c r="I54" s="21">
        <f t="shared" si="18"/>
        <v>1300.6888976077644</v>
      </c>
      <c r="J54">
        <f t="shared" si="31"/>
        <v>587.64691606216866</v>
      </c>
      <c r="K54">
        <f t="shared" si="7"/>
        <v>326.47050892342702</v>
      </c>
      <c r="L54">
        <f>J54-'Example 6.1'!$C$9</f>
        <v>127.97691606216864</v>
      </c>
      <c r="M54">
        <f>K54-'Example 6.1'!$C$10</f>
        <v>53.320508923427042</v>
      </c>
      <c r="N54">
        <f t="shared" si="34"/>
        <v>659.67000000000007</v>
      </c>
      <c r="O54">
        <f t="shared" si="34"/>
        <v>366.48333333333335</v>
      </c>
      <c r="P54">
        <f>N54-'Example 6.1'!$C$9</f>
        <v>200.00000000000006</v>
      </c>
      <c r="Q54">
        <f>O54-'Example 6.1'!$C$10</f>
        <v>93.333333333333371</v>
      </c>
      <c r="R54">
        <f t="shared" si="32"/>
        <v>0.5781033842608132</v>
      </c>
      <c r="S54">
        <f t="shared" si="20"/>
        <v>9.260325936646467</v>
      </c>
      <c r="T54">
        <f t="shared" si="26"/>
        <v>1188.3768951472052</v>
      </c>
      <c r="U54">
        <f t="shared" si="21"/>
        <v>362.31002900829429</v>
      </c>
      <c r="V54">
        <f t="shared" si="22"/>
        <v>930.28673352715293</v>
      </c>
      <c r="W54">
        <f t="shared" si="23"/>
        <v>283.624004124132</v>
      </c>
      <c r="Y54">
        <f t="shared" si="27"/>
        <v>0.98682193315657574</v>
      </c>
      <c r="Z54">
        <f t="shared" si="9"/>
        <v>0.7828212895471327</v>
      </c>
      <c r="AA54">
        <f t="shared" si="10"/>
        <v>0.33137457670346382</v>
      </c>
      <c r="AB54">
        <f t="shared" si="11"/>
        <v>0.47162225284410347</v>
      </c>
      <c r="AC54">
        <f t="shared" si="12"/>
        <v>0.90408052386950555</v>
      </c>
      <c r="AD54">
        <f t="shared" si="13"/>
        <v>0.36653214835904846</v>
      </c>
      <c r="AE54">
        <f t="shared" si="14"/>
        <v>2.7282736438726172</v>
      </c>
    </row>
    <row r="55" spans="2:31" x14ac:dyDescent="0.25">
      <c r="B55">
        <f t="shared" si="28"/>
        <v>98.827206913730777</v>
      </c>
      <c r="C55">
        <f t="shared" si="15"/>
        <v>30.130246010283773</v>
      </c>
      <c r="D55">
        <f t="shared" si="16"/>
        <v>0.79282128954713271</v>
      </c>
      <c r="E55">
        <f t="shared" si="25"/>
        <v>9.0027816424109425E-2</v>
      </c>
      <c r="F55">
        <f t="shared" si="29"/>
        <v>124.10718429177128</v>
      </c>
      <c r="G55" s="21">
        <f t="shared" si="17"/>
        <v>855.68924996753287</v>
      </c>
      <c r="H55">
        <f t="shared" si="30"/>
        <v>187.84254727089095</v>
      </c>
      <c r="I55" s="21">
        <f t="shared" si="18"/>
        <v>1295.1292812214481</v>
      </c>
      <c r="J55">
        <f t="shared" si="31"/>
        <v>586.00187615557456</v>
      </c>
      <c r="K55">
        <f t="shared" si="7"/>
        <v>325.55659786420807</v>
      </c>
      <c r="L55">
        <f>J55-'Example 6.1'!$C$9</f>
        <v>126.33187615557455</v>
      </c>
      <c r="M55">
        <f>K55-'Example 6.1'!$C$10</f>
        <v>52.406597864208095</v>
      </c>
      <c r="N55">
        <f t="shared" si="34"/>
        <v>659.67000000000007</v>
      </c>
      <c r="O55">
        <f t="shared" si="34"/>
        <v>366.48333333333335</v>
      </c>
      <c r="P55">
        <f>N55-'Example 6.1'!$C$9</f>
        <v>200.00000000000006</v>
      </c>
      <c r="Q55">
        <f>O55-'Example 6.1'!$C$10</f>
        <v>93.333333333333371</v>
      </c>
      <c r="R55">
        <f t="shared" si="32"/>
        <v>0.5716122977582454</v>
      </c>
      <c r="S55">
        <f t="shared" si="20"/>
        <v>9.1563487271485435</v>
      </c>
      <c r="T55">
        <f t="shared" si="26"/>
        <v>1186.7123773715653</v>
      </c>
      <c r="U55">
        <f t="shared" si="21"/>
        <v>361.80255407669677</v>
      </c>
      <c r="V55">
        <f t="shared" si="22"/>
        <v>940.85083734926798</v>
      </c>
      <c r="W55">
        <f t="shared" si="23"/>
        <v>286.84476748453295</v>
      </c>
      <c r="Y55">
        <f t="shared" si="27"/>
        <v>0.98827206913730781</v>
      </c>
      <c r="Z55">
        <f t="shared" si="9"/>
        <v>0.79282128954713271</v>
      </c>
      <c r="AA55">
        <f t="shared" si="10"/>
        <v>0.3267365981429613</v>
      </c>
      <c r="AB55">
        <f t="shared" si="11"/>
        <v>0.46960636817722734</v>
      </c>
      <c r="AC55">
        <f t="shared" si="12"/>
        <v>0.90154966988237684</v>
      </c>
      <c r="AD55">
        <f t="shared" si="13"/>
        <v>0.36241663555330222</v>
      </c>
      <c r="AE55">
        <f t="shared" si="14"/>
        <v>2.7592552380309403</v>
      </c>
    </row>
    <row r="56" spans="2:31" x14ac:dyDescent="0.25">
      <c r="B56">
        <f t="shared" si="28"/>
        <v>98.960623265869131</v>
      </c>
      <c r="C56">
        <f t="shared" si="15"/>
        <v>30.170921727399126</v>
      </c>
      <c r="D56">
        <f t="shared" si="16"/>
        <v>0.80282128954713272</v>
      </c>
      <c r="E56">
        <f t="shared" si="25"/>
        <v>9.0392411733317357E-2</v>
      </c>
      <c r="F56">
        <f t="shared" si="29"/>
        <v>122.38794016815517</v>
      </c>
      <c r="G56" s="21">
        <f t="shared" si="17"/>
        <v>843.83547435378955</v>
      </c>
      <c r="H56">
        <f t="shared" si="30"/>
        <v>187.08488951742055</v>
      </c>
      <c r="I56" s="21">
        <f t="shared" si="18"/>
        <v>1289.9054128491305</v>
      </c>
      <c r="J56">
        <f t="shared" si="31"/>
        <v>584.34531508411237</v>
      </c>
      <c r="K56">
        <f t="shared" si="7"/>
        <v>324.63628615784017</v>
      </c>
      <c r="L56">
        <f>J56-'Example 6.1'!$C$9</f>
        <v>124.67531508411236</v>
      </c>
      <c r="M56">
        <f>K56-'Example 6.1'!$C$10</f>
        <v>51.486286157840198</v>
      </c>
      <c r="N56">
        <f t="shared" si="34"/>
        <v>659.67000000000007</v>
      </c>
      <c r="O56">
        <f t="shared" si="34"/>
        <v>366.48333333333335</v>
      </c>
      <c r="P56">
        <f>N56-'Example 6.1'!$C$9</f>
        <v>200.00000000000006</v>
      </c>
      <c r="Q56">
        <f>O56-'Example 6.1'!$C$10</f>
        <v>93.333333333333371</v>
      </c>
      <c r="R56">
        <f t="shared" si="32"/>
        <v>0.56529182719653503</v>
      </c>
      <c r="S56">
        <f t="shared" si="20"/>
        <v>9.0551045222746094</v>
      </c>
      <c r="T56">
        <f t="shared" si="26"/>
        <v>1185.0338393909647</v>
      </c>
      <c r="U56">
        <f t="shared" si="21"/>
        <v>361.29080469236732</v>
      </c>
      <c r="V56">
        <f t="shared" si="22"/>
        <v>951.37039509684405</v>
      </c>
      <c r="W56">
        <f t="shared" si="23"/>
        <v>290.05194972464761</v>
      </c>
      <c r="Y56">
        <f t="shared" si="27"/>
        <v>0.9896062326586913</v>
      </c>
      <c r="Z56">
        <f t="shared" si="9"/>
        <v>0.80282128954713272</v>
      </c>
      <c r="AA56">
        <f t="shared" si="10"/>
        <v>0.322210349485132</v>
      </c>
      <c r="AB56">
        <f t="shared" si="11"/>
        <v>0.46771222379355137</v>
      </c>
      <c r="AC56">
        <f t="shared" si="12"/>
        <v>0.89900109086260549</v>
      </c>
      <c r="AD56">
        <f t="shared" si="13"/>
        <v>0.35840929756377293</v>
      </c>
      <c r="AE56">
        <f t="shared" si="14"/>
        <v>2.7901061908754379</v>
      </c>
    </row>
    <row r="57" spans="2:31" x14ac:dyDescent="0.25">
      <c r="B57">
        <f t="shared" si="28"/>
        <v>99.083120209114995</v>
      </c>
      <c r="C57">
        <f t="shared" si="15"/>
        <v>30.2082683564375</v>
      </c>
      <c r="D57">
        <f t="shared" si="16"/>
        <v>0.81282128954713273</v>
      </c>
      <c r="E57">
        <f t="shared" si="25"/>
        <v>9.0736959308956297E-2</v>
      </c>
      <c r="F57">
        <f t="shared" si="29"/>
        <v>120.70959120052594</v>
      </c>
      <c r="G57" s="21">
        <f t="shared" si="17"/>
        <v>832.2636610257382</v>
      </c>
      <c r="H57">
        <f t="shared" si="30"/>
        <v>186.3744883136242</v>
      </c>
      <c r="I57" s="21">
        <f t="shared" si="18"/>
        <v>1285.0073670452434</v>
      </c>
      <c r="J57">
        <f t="shared" si="31"/>
        <v>582.67750586213822</v>
      </c>
      <c r="K57">
        <f t="shared" si="7"/>
        <v>323.70972547896565</v>
      </c>
      <c r="L57">
        <f>J57-'Example 6.1'!$C$9</f>
        <v>123.0075058621382</v>
      </c>
      <c r="M57">
        <f>K57-'Example 6.1'!$C$10</f>
        <v>50.559725478965674</v>
      </c>
      <c r="N57">
        <f t="shared" si="34"/>
        <v>659.67000000000007</v>
      </c>
      <c r="O57">
        <f t="shared" si="34"/>
        <v>366.48333333333335</v>
      </c>
      <c r="P57">
        <f>N57-'Example 6.1'!$C$9</f>
        <v>200.00000000000006</v>
      </c>
      <c r="Q57">
        <f>O57-'Example 6.1'!$C$10</f>
        <v>93.333333333333371</v>
      </c>
      <c r="R57">
        <f t="shared" si="32"/>
        <v>0.55913563811463118</v>
      </c>
      <c r="S57">
        <f t="shared" si="20"/>
        <v>8.9564918537136951</v>
      </c>
      <c r="T57">
        <f t="shared" si="26"/>
        <v>1183.3414987717294</v>
      </c>
      <c r="U57">
        <f t="shared" si="21"/>
        <v>360.77484718650288</v>
      </c>
      <c r="V57">
        <f t="shared" si="22"/>
        <v>961.84516300627388</v>
      </c>
      <c r="W57">
        <f t="shared" si="23"/>
        <v>293.24547652630304</v>
      </c>
      <c r="Y57">
        <f t="shared" si="27"/>
        <v>0.99083120209114994</v>
      </c>
      <c r="Z57">
        <f t="shared" si="9"/>
        <v>0.81282128954713273</v>
      </c>
      <c r="AA57">
        <f t="shared" si="10"/>
        <v>0.31779176537729575</v>
      </c>
      <c r="AB57">
        <f t="shared" si="11"/>
        <v>0.4659362207840605</v>
      </c>
      <c r="AC57">
        <f t="shared" si="12"/>
        <v>0.89643520683615507</v>
      </c>
      <c r="AD57">
        <f t="shared" si="13"/>
        <v>0.35450611818214744</v>
      </c>
      <c r="AE57">
        <f t="shared" si="14"/>
        <v>2.8208257875148819</v>
      </c>
    </row>
    <row r="58" spans="2:31" x14ac:dyDescent="0.25">
      <c r="B58">
        <f t="shared" si="28"/>
        <v>99.195332083995197</v>
      </c>
      <c r="C58">
        <f t="shared" si="15"/>
        <v>30.242479293900978</v>
      </c>
      <c r="D58">
        <f t="shared" si="16"/>
        <v>0.82282128954713274</v>
      </c>
      <c r="E58">
        <f t="shared" si="25"/>
        <v>9.106163467584534E-2</v>
      </c>
      <c r="F58">
        <f t="shared" si="29"/>
        <v>119.07066828181728</v>
      </c>
      <c r="G58" s="21">
        <f t="shared" si="17"/>
        <v>820.96368084274241</v>
      </c>
      <c r="H58">
        <f t="shared" si="30"/>
        <v>185.70998008699959</v>
      </c>
      <c r="I58" s="21">
        <f t="shared" si="18"/>
        <v>1280.4257423046413</v>
      </c>
      <c r="J58">
        <f t="shared" si="31"/>
        <v>580.99872079293925</v>
      </c>
      <c r="K58">
        <f t="shared" si="7"/>
        <v>322.77706710718849</v>
      </c>
      <c r="L58">
        <f>J58-'Example 6.1'!$C$9</f>
        <v>121.32872079293924</v>
      </c>
      <c r="M58">
        <f>K58-'Example 6.1'!$C$10</f>
        <v>49.627067107188509</v>
      </c>
      <c r="N58">
        <f t="shared" si="34"/>
        <v>659.67000000000007</v>
      </c>
      <c r="O58">
        <f t="shared" si="34"/>
        <v>366.48333333333335</v>
      </c>
      <c r="P58">
        <f>N58-'Example 6.1'!$C$9</f>
        <v>200.00000000000006</v>
      </c>
      <c r="Q58">
        <f>O58-'Example 6.1'!$C$10</f>
        <v>93.333333333333371</v>
      </c>
      <c r="R58">
        <f t="shared" si="32"/>
        <v>0.553137703792694</v>
      </c>
      <c r="S58">
        <f t="shared" si="20"/>
        <v>8.8604141826951182</v>
      </c>
      <c r="T58">
        <f t="shared" si="26"/>
        <v>1181.6355731146875</v>
      </c>
      <c r="U58">
        <f t="shared" si="21"/>
        <v>360.25474790081938</v>
      </c>
      <c r="V58">
        <f t="shared" si="22"/>
        <v>972.27490604499246</v>
      </c>
      <c r="W58">
        <f t="shared" si="23"/>
        <v>296.42527623322945</v>
      </c>
      <c r="Y58">
        <f t="shared" si="27"/>
        <v>0.99195332083995202</v>
      </c>
      <c r="Z58">
        <f t="shared" si="9"/>
        <v>0.82282128954713274</v>
      </c>
      <c r="AA58">
        <f t="shared" si="10"/>
        <v>0.31347697810584763</v>
      </c>
      <c r="AB58">
        <f t="shared" si="11"/>
        <v>0.46427495021749898</v>
      </c>
      <c r="AC58">
        <f t="shared" si="12"/>
        <v>0.89385243673502668</v>
      </c>
      <c r="AD58">
        <f t="shared" si="13"/>
        <v>0.35070327631581394</v>
      </c>
      <c r="AE58">
        <f t="shared" si="14"/>
        <v>2.8514133386637766</v>
      </c>
    </row>
    <row r="59" spans="2:31" x14ac:dyDescent="0.25">
      <c r="B59">
        <f t="shared" si="28"/>
        <v>99.29785293419495</v>
      </c>
      <c r="C59">
        <f t="shared" si="15"/>
        <v>30.273735650669195</v>
      </c>
      <c r="D59">
        <f t="shared" si="16"/>
        <v>0.83282128954713275</v>
      </c>
      <c r="E59">
        <f t="shared" si="25"/>
        <v>9.1366620104909896E-2</v>
      </c>
      <c r="F59">
        <f t="shared" si="29"/>
        <v>117.46977286275701</v>
      </c>
      <c r="G59" s="21">
        <f t="shared" si="17"/>
        <v>809.92589114322254</v>
      </c>
      <c r="H59">
        <f t="shared" si="30"/>
        <v>185.09007275220523</v>
      </c>
      <c r="I59" s="21">
        <f t="shared" si="18"/>
        <v>1276.1516300089945</v>
      </c>
      <c r="J59">
        <f t="shared" si="31"/>
        <v>579.30923138317166</v>
      </c>
      <c r="K59">
        <f t="shared" si="7"/>
        <v>321.83846187953981</v>
      </c>
      <c r="L59">
        <f>J59-'Example 6.1'!$C$9</f>
        <v>119.63923138317165</v>
      </c>
      <c r="M59">
        <f>K59-'Example 6.1'!$C$10</f>
        <v>48.68846187953983</v>
      </c>
      <c r="N59">
        <f t="shared" si="34"/>
        <v>659.67000000000007</v>
      </c>
      <c r="O59">
        <f t="shared" si="34"/>
        <v>366.48333333333335</v>
      </c>
      <c r="P59">
        <f>N59-'Example 6.1'!$C$9</f>
        <v>200.00000000000006</v>
      </c>
      <c r="Q59">
        <f>O59-'Example 6.1'!$C$10</f>
        <v>93.333333333333371</v>
      </c>
      <c r="R59">
        <f t="shared" si="32"/>
        <v>0.54729228678336062</v>
      </c>
      <c r="S59">
        <f t="shared" si="20"/>
        <v>8.766779604147791</v>
      </c>
      <c r="T59">
        <f t="shared" si="26"/>
        <v>1179.9162799935361</v>
      </c>
      <c r="U59">
        <f t="shared" si="21"/>
        <v>359.73057316876105</v>
      </c>
      <c r="V59">
        <f t="shared" si="22"/>
        <v>982.65939786187255</v>
      </c>
      <c r="W59">
        <f t="shared" si="23"/>
        <v>299.59127983593675</v>
      </c>
      <c r="Y59">
        <f t="shared" si="27"/>
        <v>0.99297852934194952</v>
      </c>
      <c r="Z59">
        <f t="shared" si="9"/>
        <v>0.83282128954713275</v>
      </c>
      <c r="AA59">
        <f t="shared" si="10"/>
        <v>0.30926230571446794</v>
      </c>
      <c r="AB59">
        <f t="shared" si="11"/>
        <v>0.46272518188051309</v>
      </c>
      <c r="AC59">
        <f t="shared" si="12"/>
        <v>0.89125319826562388</v>
      </c>
      <c r="AD59">
        <f t="shared" si="13"/>
        <v>0.34699713427821793</v>
      </c>
      <c r="AE59">
        <f t="shared" si="14"/>
        <v>2.8818681804968809</v>
      </c>
    </row>
    <row r="60" spans="2:31" x14ac:dyDescent="0.25">
      <c r="B60">
        <f t="shared" si="28"/>
        <v>99.391239438107675</v>
      </c>
      <c r="C60">
        <f t="shared" si="15"/>
        <v>30.302207145764537</v>
      </c>
      <c r="D60">
        <f t="shared" si="16"/>
        <v>0.84282128954713276</v>
      </c>
      <c r="E60">
        <f t="shared" si="25"/>
        <v>9.1652104351007346E-2</v>
      </c>
      <c r="F60">
        <f t="shared" si="29"/>
        <v>115.90557276008991</v>
      </c>
      <c r="G60" s="21">
        <f t="shared" si="17"/>
        <v>799.14110684335753</v>
      </c>
      <c r="H60">
        <f t="shared" si="30"/>
        <v>184.51354152846574</v>
      </c>
      <c r="I60" s="21">
        <f t="shared" si="18"/>
        <v>1272.1765855888043</v>
      </c>
      <c r="J60">
        <f t="shared" si="31"/>
        <v>577.60930825917546</v>
      </c>
      <c r="K60">
        <f t="shared" si="7"/>
        <v>320.89406014398634</v>
      </c>
      <c r="L60">
        <f>J60-'Example 6.1'!$C$9</f>
        <v>117.93930825917545</v>
      </c>
      <c r="M60">
        <f>K60-'Example 6.1'!$C$10</f>
        <v>47.74406014398636</v>
      </c>
      <c r="N60">
        <f t="shared" si="34"/>
        <v>659.67000000000007</v>
      </c>
      <c r="O60">
        <f t="shared" si="34"/>
        <v>366.48333333333335</v>
      </c>
      <c r="P60">
        <f>N60-'Example 6.1'!$C$9</f>
        <v>200.00000000000006</v>
      </c>
      <c r="Q60">
        <f>O60-'Example 6.1'!$C$10</f>
        <v>93.333333333333371</v>
      </c>
      <c r="R60">
        <f t="shared" si="32"/>
        <v>0.54159392175775256</v>
      </c>
      <c r="S60">
        <f t="shared" si="20"/>
        <v>8.6755005719196898</v>
      </c>
      <c r="T60">
        <f t="shared" si="26"/>
        <v>1178.1838368941821</v>
      </c>
      <c r="U60">
        <f t="shared" si="21"/>
        <v>359.20238929700679</v>
      </c>
      <c r="V60">
        <f t="shared" si="22"/>
        <v>992.99842073474338</v>
      </c>
      <c r="W60">
        <f t="shared" si="23"/>
        <v>302.74342095571444</v>
      </c>
      <c r="Y60">
        <f t="shared" si="27"/>
        <v>0.9939123943810767</v>
      </c>
      <c r="Z60">
        <f t="shared" si="9"/>
        <v>0.84282128954713276</v>
      </c>
      <c r="AA60">
        <f t="shared" si="10"/>
        <v>0.30514424096844334</v>
      </c>
      <c r="AB60">
        <f t="shared" si="11"/>
        <v>0.46128385382116432</v>
      </c>
      <c r="AC60">
        <f t="shared" si="12"/>
        <v>0.88863790778000551</v>
      </c>
      <c r="AD60">
        <f t="shared" si="13"/>
        <v>0.34338422691279785</v>
      </c>
      <c r="AE60">
        <f t="shared" si="14"/>
        <v>2.9121896744952971</v>
      </c>
    </row>
    <row r="61" spans="2:31" x14ac:dyDescent="0.25">
      <c r="B61">
        <f t="shared" si="28"/>
        <v>99.47601359749774</v>
      </c>
      <c r="C61">
        <f t="shared" si="15"/>
        <v>30.328052926066388</v>
      </c>
      <c r="D61">
        <f t="shared" si="16"/>
        <v>0.85282128954713277</v>
      </c>
      <c r="E61">
        <f t="shared" si="25"/>
        <v>9.1918282390667058E-2</v>
      </c>
      <c r="F61">
        <f t="shared" si="29"/>
        <v>114.37679825980869</v>
      </c>
      <c r="G61" s="21">
        <f t="shared" si="17"/>
        <v>788.6005735697986</v>
      </c>
      <c r="H61">
        <f t="shared" si="30"/>
        <v>183.97922505194612</v>
      </c>
      <c r="I61" s="21">
        <f t="shared" si="18"/>
        <v>1268.492601719156</v>
      </c>
      <c r="J61">
        <f t="shared" si="31"/>
        <v>575.89922108519556</v>
      </c>
      <c r="K61">
        <f t="shared" si="7"/>
        <v>319.94401171399755</v>
      </c>
      <c r="L61">
        <f>J61-'Example 6.1'!$C$9</f>
        <v>116.22922108519555</v>
      </c>
      <c r="M61">
        <f>K61-'Example 6.1'!$C$10</f>
        <v>46.794011713997577</v>
      </c>
      <c r="N61">
        <f t="shared" si="34"/>
        <v>659.67000000000007</v>
      </c>
      <c r="O61">
        <f t="shared" si="34"/>
        <v>366.48333333333335</v>
      </c>
      <c r="P61">
        <f>N61-'Example 6.1'!$C$9</f>
        <v>200.00000000000006</v>
      </c>
      <c r="Q61">
        <f>O61-'Example 6.1'!$C$10</f>
        <v>93.333333333333371</v>
      </c>
      <c r="R61">
        <f t="shared" si="32"/>
        <v>0.53603739955830165</v>
      </c>
      <c r="S61">
        <f t="shared" si="20"/>
        <v>8.5864936433286729</v>
      </c>
      <c r="T61">
        <f t="shared" si="26"/>
        <v>1176.4384611550852</v>
      </c>
      <c r="U61">
        <f t="shared" si="21"/>
        <v>358.67026254728211</v>
      </c>
      <c r="V61">
        <f t="shared" si="22"/>
        <v>1003.2917655151242</v>
      </c>
      <c r="W61">
        <f t="shared" si="23"/>
        <v>305.88163582778179</v>
      </c>
      <c r="Y61">
        <f t="shared" si="27"/>
        <v>0.99476013597497737</v>
      </c>
      <c r="Z61">
        <f t="shared" si="9"/>
        <v>0.85282128954713277</v>
      </c>
      <c r="AA61">
        <f t="shared" si="10"/>
        <v>0.30111944109565542</v>
      </c>
      <c r="AB61">
        <f t="shared" si="11"/>
        <v>0.45994806262986532</v>
      </c>
      <c r="AC61">
        <f t="shared" si="12"/>
        <v>0.88600698015007018</v>
      </c>
      <c r="AD61">
        <f t="shared" si="13"/>
        <v>0.33986125148207341</v>
      </c>
      <c r="AE61">
        <f t="shared" si="14"/>
        <v>2.9423772072843875</v>
      </c>
    </row>
    <row r="62" spans="2:31" x14ac:dyDescent="0.25">
      <c r="B62">
        <f t="shared" si="28"/>
        <v>99.552665205880714</v>
      </c>
      <c r="C62">
        <f t="shared" si="15"/>
        <v>30.351422318866074</v>
      </c>
      <c r="D62">
        <f t="shared" si="16"/>
        <v>0.86282128954713277</v>
      </c>
      <c r="E62">
        <f t="shared" si="25"/>
        <v>9.2165355160064105E-2</v>
      </c>
      <c r="F62">
        <f t="shared" si="29"/>
        <v>112.88223849146161</v>
      </c>
      <c r="G62" s="21">
        <f t="shared" si="17"/>
        <v>778.29594266138974</v>
      </c>
      <c r="H62">
        <f t="shared" si="30"/>
        <v>183.4860217591669</v>
      </c>
      <c r="I62" s="21">
        <f t="shared" si="18"/>
        <v>1265.0920833842335</v>
      </c>
      <c r="J62">
        <f t="shared" si="31"/>
        <v>574.17923848352655</v>
      </c>
      <c r="K62">
        <f t="shared" si="7"/>
        <v>318.98846582418139</v>
      </c>
      <c r="L62">
        <f>J62-'Example 6.1'!$C$9</f>
        <v>114.50923848352653</v>
      </c>
      <c r="M62">
        <f>K62-'Example 6.1'!$C$10</f>
        <v>45.838465824181412</v>
      </c>
      <c r="N62">
        <f t="shared" si="34"/>
        <v>659.67000000000007</v>
      </c>
      <c r="O62">
        <f t="shared" si="34"/>
        <v>366.48333333333335</v>
      </c>
      <c r="P62">
        <f>N62-'Example 6.1'!$C$9</f>
        <v>200.00000000000006</v>
      </c>
      <c r="Q62">
        <f>O62-'Example 6.1'!$C$10</f>
        <v>93.333333333333371</v>
      </c>
      <c r="R62">
        <f t="shared" si="32"/>
        <v>0.53061775236048958</v>
      </c>
      <c r="S62">
        <f t="shared" si="20"/>
        <v>8.4996792414764091</v>
      </c>
      <c r="T62">
        <f t="shared" si="26"/>
        <v>1174.6803699086117</v>
      </c>
      <c r="U62">
        <f t="shared" si="21"/>
        <v>358.13425911847924</v>
      </c>
      <c r="V62">
        <f t="shared" si="22"/>
        <v>1013.5392315702513</v>
      </c>
      <c r="W62">
        <f t="shared" si="23"/>
        <v>309.00586328361322</v>
      </c>
      <c r="Y62">
        <f t="shared" si="27"/>
        <v>0.99552665205880719</v>
      </c>
      <c r="Z62">
        <f t="shared" si="9"/>
        <v>0.86282128954713277</v>
      </c>
      <c r="AA62">
        <f t="shared" si="10"/>
        <v>0.29718471824123127</v>
      </c>
      <c r="AB62">
        <f t="shared" si="11"/>
        <v>0.45871505439791727</v>
      </c>
      <c r="AC62">
        <f t="shared" si="12"/>
        <v>0.88336082864470111</v>
      </c>
      <c r="AD62">
        <f t="shared" si="13"/>
        <v>0.33642505825981411</v>
      </c>
      <c r="AE62">
        <f t="shared" si="14"/>
        <v>2.9724301904637573</v>
      </c>
    </row>
    <row r="63" spans="2:31" x14ac:dyDescent="0.25">
      <c r="B63">
        <f t="shared" si="28"/>
        <v>99.621654116892671</v>
      </c>
      <c r="C63">
        <f t="shared" si="15"/>
        <v>30.372455523442888</v>
      </c>
      <c r="D63">
        <f t="shared" si="16"/>
        <v>0.87282128954713278</v>
      </c>
      <c r="E63">
        <f t="shared" si="25"/>
        <v>9.2393529293539139E-2</v>
      </c>
      <c r="F63">
        <f t="shared" si="29"/>
        <v>111.42073805179756</v>
      </c>
      <c r="G63" s="21">
        <f t="shared" si="17"/>
        <v>768.21924789001173</v>
      </c>
      <c r="H63">
        <f t="shared" si="30"/>
        <v>183.03288651972102</v>
      </c>
      <c r="I63" s="21">
        <f t="shared" si="18"/>
        <v>1261.9678246607116</v>
      </c>
      <c r="J63">
        <f t="shared" si="31"/>
        <v>572.44962795660274</v>
      </c>
      <c r="K63">
        <f t="shared" si="7"/>
        <v>318.02757108700149</v>
      </c>
      <c r="L63">
        <f>J63-'Example 6.1'!$C$9</f>
        <v>112.77962795660272</v>
      </c>
      <c r="M63">
        <f>K63-'Example 6.1'!$C$10</f>
        <v>44.877571087001513</v>
      </c>
      <c r="N63">
        <f t="shared" si="34"/>
        <v>659.67000000000007</v>
      </c>
      <c r="O63">
        <f t="shared" si="34"/>
        <v>366.48333333333335</v>
      </c>
      <c r="P63">
        <f>N63-'Example 6.1'!$C$9</f>
        <v>200.00000000000006</v>
      </c>
      <c r="Q63">
        <f>O63-'Example 6.1'!$C$10</f>
        <v>93.333333333333371</v>
      </c>
      <c r="R63">
        <f t="shared" si="32"/>
        <v>0.5253302398545604</v>
      </c>
      <c r="S63">
        <f t="shared" si="20"/>
        <v>8.4149814339006817</v>
      </c>
      <c r="T63">
        <f t="shared" si="26"/>
        <v>1172.9097800234269</v>
      </c>
      <c r="U63">
        <f t="shared" si="21"/>
        <v>357.59444512909363</v>
      </c>
      <c r="V63">
        <f t="shared" si="22"/>
        <v>1023.7406267224914</v>
      </c>
      <c r="W63">
        <f t="shared" si="23"/>
        <v>312.11604473246689</v>
      </c>
      <c r="Y63">
        <f t="shared" si="27"/>
        <v>0.99621654116892666</v>
      </c>
      <c r="Z63">
        <f t="shared" si="9"/>
        <v>0.87282128954713278</v>
      </c>
      <c r="AA63">
        <f t="shared" si="10"/>
        <v>0.29333703057862481</v>
      </c>
      <c r="AB63">
        <f t="shared" si="11"/>
        <v>0.45758221629930257</v>
      </c>
      <c r="AC63">
        <f t="shared" si="12"/>
        <v>0.88069986480990403</v>
      </c>
      <c r="AD63">
        <f t="shared" si="13"/>
        <v>0.33307264176989576</v>
      </c>
      <c r="AE63">
        <f t="shared" si="14"/>
        <v>3.0023480604295707</v>
      </c>
    </row>
    <row r="64" spans="2:31" x14ac:dyDescent="0.25">
      <c r="B64">
        <f t="shared" si="28"/>
        <v>99.683412330852462</v>
      </c>
      <c r="C64">
        <f t="shared" si="15"/>
        <v>30.391284247211118</v>
      </c>
      <c r="D64">
        <f t="shared" si="16"/>
        <v>0.88282128954713279</v>
      </c>
      <c r="E64">
        <f t="shared" si="25"/>
        <v>9.2603016862965043E-2</v>
      </c>
      <c r="F64">
        <f t="shared" si="29"/>
        <v>109.99119385798014</v>
      </c>
      <c r="G64" s="21">
        <f t="shared" si="17"/>
        <v>758.36288376424704</v>
      </c>
      <c r="H64">
        <f t="shared" si="30"/>
        <v>182.61882749852558</v>
      </c>
      <c r="I64" s="21">
        <f t="shared" si="18"/>
        <v>1259.1129870837342</v>
      </c>
      <c r="J64">
        <f t="shared" si="31"/>
        <v>570.71065581104801</v>
      </c>
      <c r="K64">
        <f t="shared" si="7"/>
        <v>317.06147545058224</v>
      </c>
      <c r="L64">
        <f>J64-'Example 6.1'!$C$9</f>
        <v>111.040655811048</v>
      </c>
      <c r="M64">
        <f>K64-'Example 6.1'!$C$10</f>
        <v>43.911475450582259</v>
      </c>
      <c r="N64">
        <f t="shared" si="34"/>
        <v>659.67000000000007</v>
      </c>
      <c r="O64">
        <f t="shared" si="34"/>
        <v>366.48333333333335</v>
      </c>
      <c r="P64">
        <f>N64-'Example 6.1'!$C$9</f>
        <v>200.00000000000006</v>
      </c>
      <c r="Q64">
        <f>O64-'Example 6.1'!$C$10</f>
        <v>93.333333333333371</v>
      </c>
      <c r="R64">
        <f t="shared" si="32"/>
        <v>0.52017033636633103</v>
      </c>
      <c r="S64">
        <f t="shared" si="20"/>
        <v>8.3323277262706199</v>
      </c>
      <c r="T64">
        <f t="shared" si="26"/>
        <v>1171.1269080479356</v>
      </c>
      <c r="U64">
        <f t="shared" si="21"/>
        <v>357.0508865999804</v>
      </c>
      <c r="V64">
        <f t="shared" si="22"/>
        <v>1033.8957671862249</v>
      </c>
      <c r="W64">
        <f t="shared" si="23"/>
        <v>315.21212414214176</v>
      </c>
      <c r="Y64">
        <f t="shared" si="27"/>
        <v>0.99683412330852461</v>
      </c>
      <c r="Z64">
        <f t="shared" si="9"/>
        <v>0.88282128954713279</v>
      </c>
      <c r="AA64">
        <f t="shared" si="10"/>
        <v>0.28957347402508293</v>
      </c>
      <c r="AB64">
        <f t="shared" si="11"/>
        <v>0.45654706874631396</v>
      </c>
      <c r="AC64">
        <f t="shared" si="12"/>
        <v>0.87802449835195895</v>
      </c>
      <c r="AD64">
        <f t="shared" si="13"/>
        <v>0.32980113262056893</v>
      </c>
      <c r="AE64">
        <f t="shared" si="14"/>
        <v>3.0321302781894457</v>
      </c>
    </row>
    <row r="65" spans="2:31" x14ac:dyDescent="0.25">
      <c r="B65">
        <f t="shared" si="28"/>
        <v>99.738345915883102</v>
      </c>
      <c r="C65">
        <f t="shared" si="15"/>
        <v>30.408032291427777</v>
      </c>
      <c r="D65">
        <f t="shared" si="16"/>
        <v>0.8928212895471328</v>
      </c>
      <c r="E65">
        <f t="shared" si="25"/>
        <v>9.2794035118251739E-2</v>
      </c>
      <c r="F65">
        <f t="shared" si="29"/>
        <v>108.59255221237316</v>
      </c>
      <c r="G65" s="21">
        <f t="shared" si="17"/>
        <v>748.71958529178198</v>
      </c>
      <c r="H65">
        <f t="shared" si="30"/>
        <v>182.24290322961309</v>
      </c>
      <c r="I65" s="21">
        <f t="shared" si="18"/>
        <v>1256.5210794714071</v>
      </c>
      <c r="J65">
        <f t="shared" si="31"/>
        <v>568.96258708370215</v>
      </c>
      <c r="K65">
        <f t="shared" si="7"/>
        <v>316.09032615761231</v>
      </c>
      <c r="L65">
        <f>J65-'Example 6.1'!$C$9</f>
        <v>109.29258708370213</v>
      </c>
      <c r="M65">
        <f>K65-'Example 6.1'!$C$10</f>
        <v>42.940326157612333</v>
      </c>
      <c r="N65">
        <f t="shared" si="34"/>
        <v>659.67000000000007</v>
      </c>
      <c r="O65">
        <f t="shared" si="34"/>
        <v>366.48333333333335</v>
      </c>
      <c r="P65">
        <f>N65-'Example 6.1'!$C$9</f>
        <v>200.00000000000006</v>
      </c>
      <c r="Q65">
        <f>O65-'Example 6.1'!$C$10</f>
        <v>93.333333333333371</v>
      </c>
      <c r="R65">
        <f t="shared" si="32"/>
        <v>0.5151337188434687</v>
      </c>
      <c r="S65">
        <f t="shared" si="20"/>
        <v>8.2516488699453507</v>
      </c>
      <c r="T65">
        <f t="shared" si="26"/>
        <v>1169.3319701547857</v>
      </c>
      <c r="U65">
        <f t="shared" si="21"/>
        <v>356.50364943743472</v>
      </c>
      <c r="V65">
        <f t="shared" si="22"/>
        <v>1044.0044775022852</v>
      </c>
      <c r="W65">
        <f t="shared" si="23"/>
        <v>318.29404801898943</v>
      </c>
      <c r="Y65">
        <f t="shared" si="27"/>
        <v>0.99738345915883098</v>
      </c>
      <c r="Z65">
        <f t="shared" si="9"/>
        <v>0.8928212895471328</v>
      </c>
      <c r="AA65">
        <f t="shared" si="10"/>
        <v>0.28589127451411556</v>
      </c>
      <c r="AB65">
        <f t="shared" si="11"/>
        <v>0.45560725807403274</v>
      </c>
      <c r="AC65">
        <f t="shared" si="12"/>
        <v>0.87533513702361399</v>
      </c>
      <c r="AD65">
        <f t="shared" si="13"/>
        <v>0.32660778988745548</v>
      </c>
      <c r="AE65">
        <f t="shared" si="14"/>
        <v>3.0617763291701841</v>
      </c>
    </row>
    <row r="66" spans="2:31" x14ac:dyDescent="0.25">
      <c r="B66">
        <f t="shared" si="28"/>
        <v>99.786836778325792</v>
      </c>
      <c r="C66">
        <f t="shared" si="15"/>
        <v>30.422816090952988</v>
      </c>
      <c r="D66">
        <f t="shared" si="16"/>
        <v>0.90282128954713281</v>
      </c>
      <c r="E66">
        <f t="shared" si="25"/>
        <v>9.2966806229270713E-2</v>
      </c>
      <c r="F66">
        <f t="shared" si="29"/>
        <v>107.22380606249457</v>
      </c>
      <c r="G66" s="21">
        <f t="shared" si="17"/>
        <v>739.2824090874451</v>
      </c>
      <c r="H66">
        <f t="shared" si="30"/>
        <v>181.90421988505832</v>
      </c>
      <c r="I66" s="21">
        <f t="shared" si="18"/>
        <v>1254.1859390947047</v>
      </c>
      <c r="J66">
        <f t="shared" si="31"/>
        <v>567.20568546963341</v>
      </c>
      <c r="K66">
        <f t="shared" si="7"/>
        <v>315.11426970535189</v>
      </c>
      <c r="L66">
        <f>J66-'Example 6.1'!$C$9</f>
        <v>107.53568546963339</v>
      </c>
      <c r="M66">
        <f>K66-'Example 6.1'!$C$10</f>
        <v>41.96426970535191</v>
      </c>
      <c r="N66">
        <f t="shared" si="34"/>
        <v>659.67000000000007</v>
      </c>
      <c r="O66">
        <f t="shared" si="34"/>
        <v>366.48333333333335</v>
      </c>
      <c r="P66">
        <f>N66-'Example 6.1'!$C$9</f>
        <v>200.00000000000006</v>
      </c>
      <c r="Q66">
        <f>O66-'Example 6.1'!$C$10</f>
        <v>93.333333333333371</v>
      </c>
      <c r="R66">
        <f t="shared" si="32"/>
        <v>0.51021625564013051</v>
      </c>
      <c r="S66">
        <f t="shared" si="20"/>
        <v>8.1728786823212047</v>
      </c>
      <c r="T66">
        <f t="shared" si="26"/>
        <v>1167.5251820864542</v>
      </c>
      <c r="U66">
        <f t="shared" si="21"/>
        <v>355.95279941660192</v>
      </c>
      <c r="V66">
        <f t="shared" si="22"/>
        <v>1054.0665904700436</v>
      </c>
      <c r="W66">
        <f t="shared" si="23"/>
        <v>321.36176538720844</v>
      </c>
      <c r="Y66">
        <f t="shared" si="27"/>
        <v>0.99786836778325794</v>
      </c>
      <c r="Z66">
        <f t="shared" si="9"/>
        <v>0.90282128954713281</v>
      </c>
      <c r="AA66">
        <f t="shared" si="10"/>
        <v>0.2822877807817849</v>
      </c>
      <c r="AB66">
        <f t="shared" si="11"/>
        <v>0.45476054971264579</v>
      </c>
      <c r="AC66">
        <f t="shared" si="12"/>
        <v>0.87263218651333452</v>
      </c>
      <c r="AD66">
        <f t="shared" si="13"/>
        <v>0.32348999400272677</v>
      </c>
      <c r="AE66">
        <f t="shared" si="14"/>
        <v>3.0912857230185944</v>
      </c>
    </row>
    <row r="67" spans="2:31" x14ac:dyDescent="0.25">
      <c r="B67">
        <f t="shared" si="28"/>
        <v>99.829244295724052</v>
      </c>
      <c r="C67">
        <f t="shared" si="15"/>
        <v>30.435745212110994</v>
      </c>
      <c r="D67">
        <f t="shared" si="16"/>
        <v>0.91282128954713282</v>
      </c>
      <c r="E67">
        <f t="shared" ref="E67:E76" si="35">(Gam/Z/Rg)^0.5*D67*(1+D67^2*(Gam-1)/2)^(-(Gam+1)/2/(Gam-1))</f>
        <v>9.3121557029468643E-2</v>
      </c>
      <c r="F67">
        <f t="shared" si="29"/>
        <v>105.88399244117377</v>
      </c>
      <c r="G67" s="21">
        <f t="shared" si="17"/>
        <v>730.04471572370721</v>
      </c>
      <c r="H67">
        <f t="shared" si="30"/>
        <v>181.60192872407953</v>
      </c>
      <c r="I67" s="21">
        <f t="shared" si="18"/>
        <v>1252.1017140896345</v>
      </c>
      <c r="J67">
        <f t="shared" si="31"/>
        <v>565.44021325214976</v>
      </c>
      <c r="K67">
        <f t="shared" si="7"/>
        <v>314.13345180674986</v>
      </c>
      <c r="L67">
        <f>J67-'Example 6.1'!$C$9</f>
        <v>105.77021325214974</v>
      </c>
      <c r="M67">
        <f>K67-'Example 6.1'!$C$10</f>
        <v>40.983451806749883</v>
      </c>
      <c r="N67">
        <f t="shared" si="34"/>
        <v>659.67000000000007</v>
      </c>
      <c r="O67">
        <f t="shared" si="34"/>
        <v>366.48333333333335</v>
      </c>
      <c r="P67">
        <f>N67-'Example 6.1'!$C$9</f>
        <v>200.00000000000006</v>
      </c>
      <c r="Q67">
        <f>O67-'Example 6.1'!$C$10</f>
        <v>93.333333333333371</v>
      </c>
      <c r="R67">
        <f t="shared" si="32"/>
        <v>0.50541399603874126</v>
      </c>
      <c r="S67">
        <f t="shared" si="20"/>
        <v>8.0959538789867356</v>
      </c>
      <c r="T67">
        <f t="shared" ref="T67:T76" si="36">(Gam*F67/R67*gc*144)^0.5</f>
        <v>1165.7067591019213</v>
      </c>
      <c r="U67">
        <f t="shared" si="21"/>
        <v>355.39840216521992</v>
      </c>
      <c r="V67">
        <f t="shared" si="22"/>
        <v>1064.0819470772246</v>
      </c>
      <c r="W67">
        <f t="shared" si="23"/>
        <v>324.41522776744654</v>
      </c>
      <c r="Y67">
        <f t="shared" ref="Y67:Y76" si="37">B67/L</f>
        <v>0.99829244295724051</v>
      </c>
      <c r="Z67">
        <f t="shared" si="9"/>
        <v>0.91282128954713282</v>
      </c>
      <c r="AA67">
        <f t="shared" si="10"/>
        <v>0.27876045762741547</v>
      </c>
      <c r="AB67">
        <f t="shared" si="11"/>
        <v>0.4540048218101988</v>
      </c>
      <c r="AC67">
        <f t="shared" si="12"/>
        <v>0.86991605033762653</v>
      </c>
      <c r="AD67">
        <f t="shared" si="13"/>
        <v>0.32044524011164599</v>
      </c>
      <c r="AE67">
        <f t="shared" si="14"/>
        <v>3.1206579933956609</v>
      </c>
    </row>
    <row r="68" spans="2:31" x14ac:dyDescent="0.25">
      <c r="B68">
        <f t="shared" ref="B68:B76" si="38">(1/Gam*(1/M_1^2-1/D68^2)+(Gam+1)/2/Gam*LN((M_1^2/D68^2)*(1+D68^2*(Gam-1)/2)/(1+M_1^2*(Gam-1)/2)))*D/f</f>
        <v>99.865906824359598</v>
      </c>
      <c r="C68">
        <f t="shared" si="15"/>
        <v>30.446922812304756</v>
      </c>
      <c r="D68">
        <f t="shared" si="16"/>
        <v>0.92282128954713283</v>
      </c>
      <c r="E68">
        <f t="shared" si="35"/>
        <v>9.3258518761430695E-2</v>
      </c>
      <c r="F68">
        <f t="shared" ref="F68:F76" si="39">H68/(1+(Gam-1)/2*D68^2)^(Gam/(Gam-1))</f>
        <v>104.57219007324345</v>
      </c>
      <c r="G68" s="21">
        <f t="shared" si="17"/>
        <v>721.00015322939601</v>
      </c>
      <c r="H68">
        <f t="shared" ref="H68:H76" si="40">mdot*N68^0.5/A/E68/gc^0.5/144</f>
        <v>181.33522370864463</v>
      </c>
      <c r="I68" s="21">
        <f t="shared" si="18"/>
        <v>1250.2628470174147</v>
      </c>
      <c r="J68">
        <f t="shared" ref="J68:J76" si="41">N68/(1+(Gam-1)/2*D68^2)</f>
        <v>563.6664312348147</v>
      </c>
      <c r="K68">
        <f t="shared" ref="K68:K76" si="42">J68/1.8</f>
        <v>313.1480173526748</v>
      </c>
      <c r="L68">
        <f>J68-'Example 6.1'!$C$9</f>
        <v>103.99643123481468</v>
      </c>
      <c r="M68">
        <f>K68-'Example 6.1'!$C$10</f>
        <v>39.998017352674822</v>
      </c>
      <c r="N68">
        <f t="shared" si="34"/>
        <v>659.67000000000007</v>
      </c>
      <c r="O68">
        <f t="shared" si="34"/>
        <v>366.48333333333335</v>
      </c>
      <c r="P68">
        <f>N68-'Example 6.1'!$C$9</f>
        <v>200.00000000000006</v>
      </c>
      <c r="Q68">
        <f>O68-'Example 6.1'!$C$10</f>
        <v>93.333333333333371</v>
      </c>
      <c r="R68">
        <f t="shared" ref="R68:R76" si="43">F68/J68/Rg/Z*144</f>
        <v>0.50072316045299003</v>
      </c>
      <c r="S68">
        <f t="shared" si="20"/>
        <v>8.0208139167898036</v>
      </c>
      <c r="T68">
        <f t="shared" si="36"/>
        <v>1163.8769159244484</v>
      </c>
      <c r="U68">
        <f t="shared" si="21"/>
        <v>354.8405231476977</v>
      </c>
      <c r="V68">
        <f t="shared" si="22"/>
        <v>1074.0503964275395</v>
      </c>
      <c r="W68">
        <f t="shared" si="23"/>
        <v>327.45438915473767</v>
      </c>
      <c r="Y68">
        <f t="shared" si="37"/>
        <v>0.99865906824359596</v>
      </c>
      <c r="Z68">
        <f t="shared" ref="Z68:Z76" si="44">D68</f>
        <v>0.92282128954713283</v>
      </c>
      <c r="AA68">
        <f t="shared" ref="AA68:AA76" si="45">F68/$F$3</f>
        <v>0.2753068796127392</v>
      </c>
      <c r="AB68">
        <f t="shared" ref="AB68:AB76" si="46">H68/$H$3</f>
        <v>0.45333805927161158</v>
      </c>
      <c r="AC68">
        <f t="shared" ref="AC68:AC76" si="47">J68/$J$3</f>
        <v>0.86718712973644541</v>
      </c>
      <c r="AD68">
        <f t="shared" ref="AD68:AD76" si="48">R68/$R$3</f>
        <v>0.31747113186102072</v>
      </c>
      <c r="AE68">
        <f t="shared" ref="AE68:AE76" si="49">V68/$V$3</f>
        <v>3.1498926977643107</v>
      </c>
    </row>
    <row r="69" spans="2:31" x14ac:dyDescent="0.25">
      <c r="B69">
        <f t="shared" si="38"/>
        <v>99.897143092162011</v>
      </c>
      <c r="C69">
        <f t="shared" ref="C69:C76" si="50">B69/3.28</f>
        <v>30.456446064683544</v>
      </c>
      <c r="D69">
        <f t="shared" ref="D69:D75" si="51">D68+0.01</f>
        <v>0.93282128954713284</v>
      </c>
      <c r="E69">
        <f t="shared" si="35"/>
        <v>9.3377926824642077E-2</v>
      </c>
      <c r="F69">
        <f t="shared" si="39"/>
        <v>103.28751713627069</v>
      </c>
      <c r="G69" s="21">
        <f t="shared" ref="G69:G76" si="52">F69*6.89476</f>
        <v>712.14264165047371</v>
      </c>
      <c r="H69">
        <f t="shared" si="40"/>
        <v>181.1033392730894</v>
      </c>
      <c r="I69" s="21">
        <f t="shared" ref="I69:I76" si="53">H69*6.89476</f>
        <v>1248.664059486526</v>
      </c>
      <c r="J69">
        <f t="shared" si="41"/>
        <v>561.88459867547374</v>
      </c>
      <c r="K69">
        <f t="shared" si="42"/>
        <v>312.15811037526316</v>
      </c>
      <c r="L69">
        <f>J69-'Example 6.1'!$C$9</f>
        <v>102.21459867547372</v>
      </c>
      <c r="M69">
        <f>K69-'Example 6.1'!$C$10</f>
        <v>39.008110375263186</v>
      </c>
      <c r="N69">
        <f t="shared" ref="N69:O76" si="54">N68</f>
        <v>659.67000000000007</v>
      </c>
      <c r="O69">
        <f t="shared" si="54"/>
        <v>366.48333333333335</v>
      </c>
      <c r="P69">
        <f>N69-'Example 6.1'!$C$9</f>
        <v>200.00000000000006</v>
      </c>
      <c r="Q69">
        <f>O69-'Example 6.1'!$C$10</f>
        <v>93.333333333333371</v>
      </c>
      <c r="R69">
        <f t="shared" si="43"/>
        <v>0.49614013126092926</v>
      </c>
      <c r="S69">
        <f t="shared" ref="S69:S76" si="55">R69*16.01846</f>
        <v>7.9474008469979456</v>
      </c>
      <c r="T69">
        <f t="shared" si="36"/>
        <v>1162.0358666904672</v>
      </c>
      <c r="U69">
        <f t="shared" ref="U69:U76" si="56">T69/3.28</f>
        <v>354.27922764953269</v>
      </c>
      <c r="V69">
        <f t="shared" ref="V69:V76" si="57">D69*T69</f>
        <v>1083.9717956662216</v>
      </c>
      <c r="W69">
        <f t="shared" ref="W69:W76" si="58">V69/3.28</f>
        <v>330.4792059957993</v>
      </c>
      <c r="Y69">
        <f t="shared" si="37"/>
        <v>0.99897143092162011</v>
      </c>
      <c r="Z69">
        <f t="shared" si="44"/>
        <v>0.93282128954713284</v>
      </c>
      <c r="AA69">
        <f t="shared" si="45"/>
        <v>0.27192472516657928</v>
      </c>
      <c r="AB69">
        <f t="shared" si="46"/>
        <v>0.45275834818272354</v>
      </c>
      <c r="AC69">
        <f t="shared" si="47"/>
        <v>0.86444582357169686</v>
      </c>
      <c r="AD69">
        <f t="shared" si="48"/>
        <v>0.31456537558715603</v>
      </c>
      <c r="AE69">
        <f t="shared" si="49"/>
        <v>3.1789894171710316</v>
      </c>
    </row>
    <row r="70" spans="2:31" x14ac:dyDescent="0.25">
      <c r="B70">
        <f t="shared" si="38"/>
        <v>99.923253486779629</v>
      </c>
      <c r="C70">
        <f t="shared" si="50"/>
        <v>30.46440655084745</v>
      </c>
      <c r="D70">
        <f t="shared" si="51"/>
        <v>0.94282128954713285</v>
      </c>
      <c r="E70">
        <f t="shared" si="35"/>
        <v>9.3480020525686117E-2</v>
      </c>
      <c r="F70">
        <f t="shared" si="39"/>
        <v>102.02912916389063</v>
      </c>
      <c r="G70" s="21">
        <f t="shared" si="52"/>
        <v>703.46635859402659</v>
      </c>
      <c r="H70">
        <f t="shared" si="40"/>
        <v>180.90554823631118</v>
      </c>
      <c r="I70" s="21">
        <f t="shared" si="53"/>
        <v>1247.3003377577888</v>
      </c>
      <c r="J70">
        <f t="shared" si="41"/>
        <v>560.09497322229629</v>
      </c>
      <c r="K70">
        <f t="shared" si="42"/>
        <v>311.16387401238683</v>
      </c>
      <c r="L70">
        <f>J70-'Example 6.1'!$C$9</f>
        <v>100.42497322229627</v>
      </c>
      <c r="M70">
        <f>K70-'Example 6.1'!$C$10</f>
        <v>38.01387401238685</v>
      </c>
      <c r="N70">
        <f t="shared" si="54"/>
        <v>659.67000000000007</v>
      </c>
      <c r="O70">
        <f t="shared" si="54"/>
        <v>366.48333333333335</v>
      </c>
      <c r="P70">
        <f>N70-'Example 6.1'!$C$9</f>
        <v>200.00000000000006</v>
      </c>
      <c r="Q70">
        <f>O70-'Example 6.1'!$C$10</f>
        <v>93.333333333333371</v>
      </c>
      <c r="R70">
        <f t="shared" si="43"/>
        <v>0.49166144422138619</v>
      </c>
      <c r="S70">
        <f t="shared" si="55"/>
        <v>7.8756591778025067</v>
      </c>
      <c r="T70">
        <f t="shared" si="36"/>
        <v>1160.1838248995928</v>
      </c>
      <c r="U70">
        <f t="shared" si="56"/>
        <v>353.71458076207097</v>
      </c>
      <c r="V70">
        <f t="shared" si="57"/>
        <v>1093.846009903559</v>
      </c>
      <c r="W70">
        <f t="shared" si="58"/>
        <v>333.48963716571922</v>
      </c>
      <c r="Y70">
        <f t="shared" si="37"/>
        <v>0.99923253486779628</v>
      </c>
      <c r="Z70">
        <f t="shared" si="44"/>
        <v>0.94282128954713285</v>
      </c>
      <c r="AA70">
        <f t="shared" si="45"/>
        <v>0.26861177106496292</v>
      </c>
      <c r="AB70">
        <f t="shared" si="46"/>
        <v>0.45226387059077794</v>
      </c>
      <c r="AC70">
        <f t="shared" si="47"/>
        <v>0.86169252822883879</v>
      </c>
      <c r="AD70">
        <f t="shared" si="48"/>
        <v>0.31172577487364261</v>
      </c>
      <c r="AE70">
        <f t="shared" si="49"/>
        <v>3.2079477560216123</v>
      </c>
    </row>
    <row r="71" spans="2:31" x14ac:dyDescent="0.25">
      <c r="B71">
        <f t="shared" si="38"/>
        <v>99.944521247671986</v>
      </c>
      <c r="C71">
        <f t="shared" si="50"/>
        <v>30.470890624290242</v>
      </c>
      <c r="D71">
        <f t="shared" si="51"/>
        <v>0.95282128954713285</v>
      </c>
      <c r="E71">
        <f t="shared" si="35"/>
        <v>9.3565042831105533E-2</v>
      </c>
      <c r="F71">
        <f t="shared" si="39"/>
        <v>100.79621708126767</v>
      </c>
      <c r="G71" s="21">
        <f t="shared" si="52"/>
        <v>694.96572568324109</v>
      </c>
      <c r="H71">
        <f t="shared" si="40"/>
        <v>180.74115984606613</v>
      </c>
      <c r="I71" s="21">
        <f t="shared" si="53"/>
        <v>1246.1669192602628</v>
      </c>
      <c r="J71">
        <f t="shared" si="41"/>
        <v>558.29781085183276</v>
      </c>
      <c r="K71">
        <f t="shared" si="42"/>
        <v>310.16545047324041</v>
      </c>
      <c r="L71">
        <f>J71-'Example 6.1'!$C$9</f>
        <v>98.627810851832749</v>
      </c>
      <c r="M71">
        <f>K71-'Example 6.1'!$C$10</f>
        <v>37.015450473240435</v>
      </c>
      <c r="N71">
        <f t="shared" si="54"/>
        <v>659.67000000000007</v>
      </c>
      <c r="O71">
        <f t="shared" si="54"/>
        <v>366.48333333333335</v>
      </c>
      <c r="P71">
        <f>N71-'Example 6.1'!$C$9</f>
        <v>200.00000000000006</v>
      </c>
      <c r="Q71">
        <f>O71-'Example 6.1'!$C$10</f>
        <v>93.333333333333371</v>
      </c>
      <c r="R71">
        <f t="shared" si="43"/>
        <v>0.48728378043083914</v>
      </c>
      <c r="S71">
        <f t="shared" si="55"/>
        <v>7.8055357454801797</v>
      </c>
      <c r="T71">
        <f t="shared" si="36"/>
        <v>1158.3210033657622</v>
      </c>
      <c r="U71">
        <f t="shared" si="56"/>
        <v>353.14664736761046</v>
      </c>
      <c r="V71">
        <f t="shared" si="57"/>
        <v>1103.6729121364942</v>
      </c>
      <c r="W71">
        <f t="shared" si="58"/>
        <v>336.48564394405315</v>
      </c>
      <c r="Y71">
        <f t="shared" si="37"/>
        <v>0.99944521247671991</v>
      </c>
      <c r="Z71">
        <f t="shared" si="44"/>
        <v>0.95282128954713285</v>
      </c>
      <c r="AA71">
        <f t="shared" si="45"/>
        <v>0.2653658872590865</v>
      </c>
      <c r="AB71">
        <f t="shared" si="46"/>
        <v>0.45185289961516534</v>
      </c>
      <c r="AC71">
        <f t="shared" si="47"/>
        <v>0.85892763752158396</v>
      </c>
      <c r="AD71">
        <f t="shared" si="48"/>
        <v>0.308950225451813</v>
      </c>
      <c r="AE71">
        <f t="shared" si="49"/>
        <v>3.2367673418512188</v>
      </c>
    </row>
    <row r="72" spans="2:31" x14ac:dyDescent="0.25">
      <c r="B72">
        <f t="shared" si="38"/>
        <v>99.961213570254444</v>
      </c>
      <c r="C72">
        <f t="shared" si="50"/>
        <v>30.475979747028795</v>
      </c>
      <c r="D72">
        <f t="shared" si="51"/>
        <v>0.96282128954713286</v>
      </c>
      <c r="E72">
        <f t="shared" si="35"/>
        <v>9.363324012314371E-2</v>
      </c>
      <c r="F72">
        <f t="shared" si="39"/>
        <v>99.588005363078324</v>
      </c>
      <c r="G72" s="21">
        <f t="shared" si="52"/>
        <v>686.63539585713784</v>
      </c>
      <c r="H72">
        <f t="shared" si="40"/>
        <v>180.60951794576309</v>
      </c>
      <c r="I72" s="21">
        <f t="shared" si="53"/>
        <v>1245.2592799517295</v>
      </c>
      <c r="J72">
        <f t="shared" si="41"/>
        <v>556.49336580908869</v>
      </c>
      <c r="K72">
        <f t="shared" si="42"/>
        <v>309.16298100504929</v>
      </c>
      <c r="L72">
        <f>J72-'Example 6.1'!$C$9</f>
        <v>96.823365809088671</v>
      </c>
      <c r="M72">
        <f>K72-'Example 6.1'!$C$10</f>
        <v>36.012981005049312</v>
      </c>
      <c r="N72">
        <f t="shared" si="54"/>
        <v>659.67000000000007</v>
      </c>
      <c r="O72">
        <f t="shared" si="54"/>
        <v>366.48333333333335</v>
      </c>
      <c r="P72">
        <f>N72-'Example 6.1'!$C$9</f>
        <v>200.00000000000006</v>
      </c>
      <c r="Q72">
        <f>O72-'Example 6.1'!$C$10</f>
        <v>93.333333333333371</v>
      </c>
      <c r="R72">
        <f t="shared" si="43"/>
        <v>0.48300395878145808</v>
      </c>
      <c r="S72">
        <f t="shared" si="55"/>
        <v>7.7369795935824355</v>
      </c>
      <c r="T72">
        <f t="shared" si="36"/>
        <v>1156.4476141695136</v>
      </c>
      <c r="U72">
        <f t="shared" si="56"/>
        <v>352.57549212485173</v>
      </c>
      <c r="V72">
        <f t="shared" si="57"/>
        <v>1113.4523831683962</v>
      </c>
      <c r="W72">
        <f t="shared" si="58"/>
        <v>339.46718999036472</v>
      </c>
      <c r="Y72">
        <f t="shared" si="37"/>
        <v>0.99961213570254448</v>
      </c>
      <c r="Z72">
        <f t="shared" si="44"/>
        <v>0.96282128954713286</v>
      </c>
      <c r="AA72">
        <f t="shared" si="45"/>
        <v>0.26218503202584259</v>
      </c>
      <c r="AB72">
        <f t="shared" si="46"/>
        <v>0.45152379486440775</v>
      </c>
      <c r="AC72">
        <f t="shared" si="47"/>
        <v>0.85615154259970538</v>
      </c>
      <c r="AD72">
        <f t="shared" si="48"/>
        <v>0.30623671041894912</v>
      </c>
      <c r="AE72">
        <f t="shared" si="49"/>
        <v>3.2654478250891055</v>
      </c>
    </row>
    <row r="73" spans="2:31" x14ac:dyDescent="0.25">
      <c r="B73">
        <f t="shared" si="38"/>
        <v>99.973582629378797</v>
      </c>
      <c r="C73">
        <f t="shared" si="50"/>
        <v>30.479750801639877</v>
      </c>
      <c r="D73">
        <f t="shared" si="51"/>
        <v>0.97282128954713287</v>
      </c>
      <c r="E73">
        <f t="shared" si="35"/>
        <v>9.368486195857062E-2</v>
      </c>
      <c r="F73">
        <f t="shared" si="39"/>
        <v>98.403750305199978</v>
      </c>
      <c r="G73" s="21">
        <f t="shared" si="52"/>
        <v>678.47024145428054</v>
      </c>
      <c r="H73">
        <f t="shared" si="40"/>
        <v>180.50999925494139</v>
      </c>
      <c r="I73" s="21">
        <f t="shared" si="53"/>
        <v>1244.5731224629997</v>
      </c>
      <c r="J73">
        <f t="shared" si="41"/>
        <v>554.68189054961192</v>
      </c>
      <c r="K73">
        <f t="shared" si="42"/>
        <v>308.15660586089552</v>
      </c>
      <c r="L73">
        <f>J73-'Example 6.1'!$C$9</f>
        <v>95.011890549611905</v>
      </c>
      <c r="M73">
        <f>K73-'Example 6.1'!$C$10</f>
        <v>35.006605860895547</v>
      </c>
      <c r="N73">
        <f t="shared" si="54"/>
        <v>659.67000000000007</v>
      </c>
      <c r="O73">
        <f t="shared" si="54"/>
        <v>366.48333333333335</v>
      </c>
      <c r="P73">
        <f>N73-'Example 6.1'!$C$9</f>
        <v>200.00000000000006</v>
      </c>
      <c r="Q73">
        <f>O73-'Example 6.1'!$C$10</f>
        <v>93.333333333333371</v>
      </c>
      <c r="R73">
        <f t="shared" si="43"/>
        <v>0.47881892888424848</v>
      </c>
      <c r="S73">
        <f t="shared" si="55"/>
        <v>7.6699418595751796</v>
      </c>
      <c r="T73">
        <f t="shared" si="36"/>
        <v>1154.5638686114028</v>
      </c>
      <c r="U73">
        <f t="shared" si="56"/>
        <v>352.001179454696</v>
      </c>
      <c r="V73">
        <f t="shared" si="57"/>
        <v>1123.1843115270713</v>
      </c>
      <c r="W73">
        <f t="shared" si="58"/>
        <v>342.43424131922905</v>
      </c>
      <c r="Y73">
        <f t="shared" si="37"/>
        <v>0.99973582629378799</v>
      </c>
      <c r="Z73">
        <f t="shared" si="44"/>
        <v>0.97282128954713287</v>
      </c>
      <c r="AA73">
        <f t="shared" si="45"/>
        <v>0.25906724741770026</v>
      </c>
      <c r="AB73">
        <f t="shared" si="46"/>
        <v>0.4512749981373535</v>
      </c>
      <c r="AC73">
        <f t="shared" si="47"/>
        <v>0.85336463185993872</v>
      </c>
      <c r="AD73">
        <f t="shared" si="48"/>
        <v>0.30358329575137638</v>
      </c>
      <c r="AE73">
        <f t="shared" si="49"/>
        <v>3.293988878818165</v>
      </c>
    </row>
    <row r="74" spans="2:31" x14ac:dyDescent="0.25">
      <c r="B74">
        <f t="shared" si="38"/>
        <v>99.981866528766631</v>
      </c>
      <c r="C74">
        <f t="shared" si="50"/>
        <v>30.482276380721537</v>
      </c>
      <c r="D74">
        <f t="shared" si="51"/>
        <v>0.98282128954713288</v>
      </c>
      <c r="E74">
        <f t="shared" si="35"/>
        <v>9.3720160830787672E-2</v>
      </c>
      <c r="F74">
        <f t="shared" si="39"/>
        <v>97.242738402007703</v>
      </c>
      <c r="G74" s="21">
        <f t="shared" si="52"/>
        <v>670.46534302462658</v>
      </c>
      <c r="H74">
        <f t="shared" si="40"/>
        <v>180.4420117553349</v>
      </c>
      <c r="I74" s="21">
        <f t="shared" si="53"/>
        <v>1244.1043649702128</v>
      </c>
      <c r="J74">
        <f t="shared" si="41"/>
        <v>552.86363568358968</v>
      </c>
      <c r="K74">
        <f t="shared" si="42"/>
        <v>307.14646426866091</v>
      </c>
      <c r="L74">
        <f>J74-'Example 6.1'!$C$9</f>
        <v>93.193635683589662</v>
      </c>
      <c r="M74">
        <f>K74-'Example 6.1'!$C$10</f>
        <v>33.99646426866093</v>
      </c>
      <c r="N74">
        <f t="shared" si="54"/>
        <v>659.67000000000007</v>
      </c>
      <c r="O74">
        <f t="shared" si="54"/>
        <v>366.48333333333335</v>
      </c>
      <c r="P74">
        <f>N74-'Example 6.1'!$C$9</f>
        <v>200.00000000000006</v>
      </c>
      <c r="Q74">
        <f>O74-'Example 6.1'!$C$10</f>
        <v>93.333333333333371</v>
      </c>
      <c r="R74">
        <f t="shared" si="43"/>
        <v>0.47472576442417214</v>
      </c>
      <c r="S74">
        <f t="shared" si="55"/>
        <v>7.604375668398025</v>
      </c>
      <c r="T74">
        <f t="shared" si="36"/>
        <v>1152.6699771665683</v>
      </c>
      <c r="U74">
        <f t="shared" si="56"/>
        <v>351.42377352639278</v>
      </c>
      <c r="V74">
        <f t="shared" si="57"/>
        <v>1132.8685933811109</v>
      </c>
      <c r="W74">
        <f t="shared" si="58"/>
        <v>345.38676627472898</v>
      </c>
      <c r="Y74">
        <f t="shared" si="37"/>
        <v>0.99981866528766627</v>
      </c>
      <c r="Z74">
        <f t="shared" si="44"/>
        <v>0.98282128954713288</v>
      </c>
      <c r="AA74">
        <f t="shared" si="45"/>
        <v>0.25601065499061959</v>
      </c>
      <c r="AB74">
        <f t="shared" si="46"/>
        <v>0.45110502938833724</v>
      </c>
      <c r="AC74">
        <f t="shared" si="47"/>
        <v>0.85056729085997718</v>
      </c>
      <c r="AD74">
        <f t="shared" si="48"/>
        <v>0.3009881260914426</v>
      </c>
      <c r="AE74">
        <f t="shared" si="49"/>
        <v>3.3223901985295989</v>
      </c>
    </row>
    <row r="75" spans="2:31" x14ac:dyDescent="0.25">
      <c r="B75">
        <f t="shared" si="38"/>
        <v>99.986290182408752</v>
      </c>
      <c r="C75">
        <f t="shared" si="50"/>
        <v>30.483625055612425</v>
      </c>
      <c r="D75">
        <f t="shared" si="51"/>
        <v>0.99282128954713289</v>
      </c>
      <c r="E75">
        <f t="shared" si="35"/>
        <v>9.3739391935394448E-2</v>
      </c>
      <c r="F75">
        <f t="shared" si="39"/>
        <v>96.104284821833147</v>
      </c>
      <c r="G75" s="21">
        <f t="shared" si="52"/>
        <v>662.61597881818227</v>
      </c>
      <c r="H75">
        <f t="shared" si="40"/>
        <v>180.40499317507877</v>
      </c>
      <c r="I75" s="21">
        <f t="shared" si="53"/>
        <v>1243.849130743806</v>
      </c>
      <c r="J75">
        <f t="shared" si="41"/>
        <v>551.0388499219498</v>
      </c>
      <c r="K75">
        <f t="shared" si="42"/>
        <v>306.1326944010832</v>
      </c>
      <c r="L75">
        <f>J75-'Example 6.1'!$C$9</f>
        <v>91.368849921949788</v>
      </c>
      <c r="M75">
        <f>K75-'Example 6.1'!$C$10</f>
        <v>32.982694401083222</v>
      </c>
      <c r="N75">
        <f t="shared" si="54"/>
        <v>659.67000000000007</v>
      </c>
      <c r="O75">
        <f t="shared" si="54"/>
        <v>366.48333333333335</v>
      </c>
      <c r="P75">
        <f>N75-'Example 6.1'!$C$9</f>
        <v>200.00000000000006</v>
      </c>
      <c r="Q75">
        <f>O75-'Example 6.1'!$C$10</f>
        <v>93.333333333333371</v>
      </c>
      <c r="R75">
        <f t="shared" si="43"/>
        <v>0.47072165691678453</v>
      </c>
      <c r="S75">
        <f t="shared" si="55"/>
        <v>7.5402360324552369</v>
      </c>
      <c r="T75">
        <f t="shared" si="36"/>
        <v>1150.7661494404463</v>
      </c>
      <c r="U75">
        <f t="shared" si="56"/>
        <v>350.84333824403853</v>
      </c>
      <c r="V75">
        <f t="shared" si="57"/>
        <v>1142.5051324546525</v>
      </c>
      <c r="W75">
        <f t="shared" si="58"/>
        <v>348.32473550446724</v>
      </c>
      <c r="Y75">
        <f t="shared" si="37"/>
        <v>0.99986290182408755</v>
      </c>
      <c r="Z75">
        <f t="shared" si="44"/>
        <v>0.99282128954713289</v>
      </c>
      <c r="AA75">
        <f t="shared" si="45"/>
        <v>0.25301345179039703</v>
      </c>
      <c r="AB75">
        <f t="shared" si="46"/>
        <v>0.45101248293769691</v>
      </c>
      <c r="AC75">
        <f t="shared" si="47"/>
        <v>0.84775990223554942</v>
      </c>
      <c r="AD75">
        <f t="shared" si="48"/>
        <v>0.29844942078906844</v>
      </c>
      <c r="AE75">
        <f t="shared" si="49"/>
        <v>3.3506515018729353</v>
      </c>
    </row>
    <row r="76" spans="2:31" x14ac:dyDescent="0.25">
      <c r="B76">
        <f t="shared" si="38"/>
        <v>99.98720474375628</v>
      </c>
      <c r="C76">
        <f t="shared" si="50"/>
        <v>30.48390388529155</v>
      </c>
      <c r="D76">
        <v>1</v>
      </c>
      <c r="E76">
        <f t="shared" si="35"/>
        <v>9.3743433770267531E-2</v>
      </c>
      <c r="F76">
        <f t="shared" si="39"/>
        <v>95.300563158518216</v>
      </c>
      <c r="G76" s="21">
        <f t="shared" si="52"/>
        <v>657.07451084282502</v>
      </c>
      <c r="H76">
        <f t="shared" si="40"/>
        <v>180.39721484689761</v>
      </c>
      <c r="I76" s="21">
        <f t="shared" si="53"/>
        <v>1243.7955010377957</v>
      </c>
      <c r="J76">
        <f t="shared" si="41"/>
        <v>549.72500000000014</v>
      </c>
      <c r="K76">
        <f t="shared" si="42"/>
        <v>305.40277777777783</v>
      </c>
      <c r="L76">
        <f>J76-'Example 6.1'!$C$9</f>
        <v>90.055000000000121</v>
      </c>
      <c r="M76">
        <f>K76-'Example 6.1'!$C$10</f>
        <v>32.252777777777851</v>
      </c>
      <c r="N76">
        <f t="shared" si="54"/>
        <v>659.67000000000007</v>
      </c>
      <c r="O76">
        <f t="shared" si="54"/>
        <v>366.48333333333335</v>
      </c>
      <c r="P76">
        <f>N76-'Example 6.1'!$C$9</f>
        <v>200.00000000000006</v>
      </c>
      <c r="Q76">
        <f>O76-'Example 6.1'!$C$10</f>
        <v>93.333333333333371</v>
      </c>
      <c r="R76">
        <f t="shared" si="43"/>
        <v>0.46790062645912639</v>
      </c>
      <c r="S76">
        <f t="shared" si="55"/>
        <v>7.4950474689104585</v>
      </c>
      <c r="T76">
        <f t="shared" si="36"/>
        <v>1149.3934364970639</v>
      </c>
      <c r="U76">
        <f t="shared" si="56"/>
        <v>350.42482820032438</v>
      </c>
      <c r="V76">
        <f t="shared" si="57"/>
        <v>1149.3934364970639</v>
      </c>
      <c r="W76">
        <f t="shared" si="58"/>
        <v>350.42482820032438</v>
      </c>
      <c r="Y76">
        <f t="shared" si="37"/>
        <v>0.99987204743756275</v>
      </c>
      <c r="Z76">
        <f t="shared" si="44"/>
        <v>1</v>
      </c>
      <c r="AA76">
        <f t="shared" si="45"/>
        <v>0.25089749626675911</v>
      </c>
      <c r="AB76">
        <f t="shared" si="46"/>
        <v>0.45099303711724403</v>
      </c>
      <c r="AC76">
        <f t="shared" si="47"/>
        <v>0.84573857600502689</v>
      </c>
      <c r="AD76">
        <f t="shared" si="48"/>
        <v>0.29666081622043433</v>
      </c>
      <c r="AE76">
        <f t="shared" si="49"/>
        <v>3.3708529921152377</v>
      </c>
    </row>
    <row r="77" spans="2:31" x14ac:dyDescent="0.25">
      <c r="G77" s="21"/>
      <c r="I77" s="21"/>
    </row>
    <row r="78" spans="2:31" x14ac:dyDescent="0.25">
      <c r="G78" s="21"/>
      <c r="I78" s="21"/>
    </row>
    <row r="79" spans="2:31" x14ac:dyDescent="0.25">
      <c r="G79" s="21"/>
      <c r="I79" s="21"/>
    </row>
    <row r="80" spans="2:31" x14ac:dyDescent="0.25">
      <c r="G80" s="21"/>
      <c r="I80" s="21"/>
    </row>
    <row r="81" spans="7:9" x14ac:dyDescent="0.25">
      <c r="G81" s="21"/>
      <c r="I81" s="21"/>
    </row>
    <row r="82" spans="7:9" x14ac:dyDescent="0.25">
      <c r="G82" s="21"/>
      <c r="I82" s="21"/>
    </row>
    <row r="83" spans="7:9" x14ac:dyDescent="0.25">
      <c r="G83" s="21"/>
      <c r="I83" s="21"/>
    </row>
    <row r="84" spans="7:9" x14ac:dyDescent="0.25">
      <c r="G84" s="21"/>
      <c r="I84" s="21"/>
    </row>
    <row r="85" spans="7:9" x14ac:dyDescent="0.25">
      <c r="G85" s="21"/>
      <c r="I85" s="21"/>
    </row>
    <row r="86" spans="7:9" x14ac:dyDescent="0.25">
      <c r="G86" s="21"/>
      <c r="I86" s="21"/>
    </row>
    <row r="87" spans="7:9" x14ac:dyDescent="0.25">
      <c r="G87" s="21"/>
      <c r="I87" s="21"/>
    </row>
    <row r="88" spans="7:9" x14ac:dyDescent="0.25">
      <c r="G88" s="21"/>
      <c r="I88" s="21"/>
    </row>
    <row r="89" spans="7:9" x14ac:dyDescent="0.25">
      <c r="G89" s="21"/>
      <c r="I89" s="21"/>
    </row>
    <row r="90" spans="7:9" x14ac:dyDescent="0.25">
      <c r="G90" s="21"/>
      <c r="I90" s="2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Example 6.1</vt:lpstr>
      <vt:lpstr>Graph Data</vt:lpstr>
      <vt:lpstr>A</vt:lpstr>
      <vt:lpstr>c_1</vt:lpstr>
      <vt:lpstr>c_2</vt:lpstr>
      <vt:lpstr>cp</vt:lpstr>
      <vt:lpstr>D</vt:lpstr>
      <vt:lpstr>f</vt:lpstr>
      <vt:lpstr>Gam</vt:lpstr>
      <vt:lpstr>gc</vt:lpstr>
      <vt:lpstr>h_1</vt:lpstr>
      <vt:lpstr>h_2</vt:lpstr>
      <vt:lpstr>ho_1</vt:lpstr>
      <vt:lpstr>ho_2</vt:lpstr>
      <vt:lpstr>L</vt:lpstr>
      <vt:lpstr>M_1</vt:lpstr>
      <vt:lpstr>M_2</vt:lpstr>
      <vt:lpstr>mdot</vt:lpstr>
      <vt:lpstr>P_1</vt:lpstr>
      <vt:lpstr>P_2</vt:lpstr>
      <vt:lpstr>Po_1</vt:lpstr>
      <vt:lpstr>Po_2</vt:lpstr>
      <vt:lpstr>Rg</vt:lpstr>
      <vt:lpstr>rho_1</vt:lpstr>
      <vt:lpstr>rho_2</vt:lpstr>
      <vt:lpstr>T_1</vt:lpstr>
      <vt:lpstr>T_2</vt:lpstr>
      <vt:lpstr>To_1</vt:lpstr>
      <vt:lpstr>To_2</vt:lpstr>
      <vt:lpstr>V_1</vt:lpstr>
      <vt:lpstr>V_2</vt:lpstr>
      <vt:lpstr>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Walters</dc:creator>
  <cp:lastModifiedBy>Trey Walters</cp:lastModifiedBy>
  <dcterms:created xsi:type="dcterms:W3CDTF">2011-05-29T12:54:22Z</dcterms:created>
  <dcterms:modified xsi:type="dcterms:W3CDTF">2024-04-22T22:49:54Z</dcterms:modified>
</cp:coreProperties>
</file>